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  <sheet name="Sheet3" sheetId="2" r:id="rId2"/>
    <sheet name="DV-IDENTITY-0" sheetId="3" r:id="rId3"/>
  </sheets>
  <definedNames/>
  <calcPr fullCalcOnLoad="1"/>
</workbook>
</file>

<file path=xl/sharedStrings.xml><?xml version="1.0" encoding="utf-8"?>
<sst xmlns="http://schemas.openxmlformats.org/spreadsheetml/2006/main" count="1186" uniqueCount="684">
  <si>
    <t>Daring BMXers</t>
  </si>
  <si>
    <t>9780689841040</t>
  </si>
  <si>
    <t>Taj Mahal: India's Majestic Tomb (Castles, Palaces &amp; Tombs)</t>
  </si>
  <si>
    <t>Deem, James</t>
  </si>
  <si>
    <t>A Dream Of Freedom: The Civil Rights Movement From 1954 To 1968</t>
  </si>
  <si>
    <t>Struck By Lightning!</t>
  </si>
  <si>
    <t>Box Jellyfish: Killer Tentacles</t>
  </si>
  <si>
    <t>9781597169523</t>
  </si>
  <si>
    <t xml:space="preserve">Aronin, Miriam </t>
  </si>
  <si>
    <t>Silate, Jennifer</t>
  </si>
  <si>
    <t>Apte, Sunita</t>
  </si>
  <si>
    <t>9780395979143</t>
  </si>
  <si>
    <t>9780590437363</t>
  </si>
  <si>
    <t>Medical Detective Dogs (Dog Heroes)</t>
  </si>
  <si>
    <t>Dolphins (Smart Animals)</t>
  </si>
  <si>
    <t>Siy, Alexandra</t>
  </si>
  <si>
    <t>9780590444255</t>
  </si>
  <si>
    <t>Kids On Strike!</t>
  </si>
  <si>
    <t>9781580135382</t>
  </si>
  <si>
    <t>9781597169516</t>
  </si>
  <si>
    <t>Dog Scouts Of America (Dog Heroes)</t>
  </si>
  <si>
    <t>9781400096428</t>
  </si>
  <si>
    <t>*The Popcorn Book</t>
  </si>
  <si>
    <t>The Great Chicago Fire (Code Red)</t>
  </si>
  <si>
    <t>9780395548004</t>
  </si>
  <si>
    <t>9781416903154</t>
  </si>
  <si>
    <t>9780439829731</t>
  </si>
  <si>
    <t>Moore, Eva</t>
  </si>
  <si>
    <t>The Mississippi River</t>
  </si>
  <si>
    <t>Snow Search Dogs (Dog Heroes)</t>
  </si>
  <si>
    <t>9781597169530</t>
  </si>
  <si>
    <t>Mighty MotoXers</t>
  </si>
  <si>
    <t>The Story Of The Statue Of Liberty</t>
  </si>
  <si>
    <t>9781580135375</t>
  </si>
  <si>
    <t>Bearport Publishing</t>
  </si>
  <si>
    <t xml:space="preserve">Feigenbaum, Aaron </t>
  </si>
  <si>
    <t>9780789473813</t>
  </si>
  <si>
    <t>Trapped By The Ice: Shackleton's Amazing Antarctic Adventure</t>
  </si>
  <si>
    <t>Tower of London: England's Ghostly Palace (Castles, Palaces &amp; Tombs)</t>
  </si>
  <si>
    <t>Fleischman, John</t>
  </si>
  <si>
    <t>Eagles</t>
  </si>
  <si>
    <t>Searl, Duncan</t>
  </si>
  <si>
    <t>9780439899598</t>
  </si>
  <si>
    <t>Himmelman, John</t>
  </si>
  <si>
    <t>Nelson, Marilyn</t>
  </si>
  <si>
    <t>Portuguese Man-Of-War: Floating Misery (Afraid of Water)</t>
  </si>
  <si>
    <t xml:space="preserve">Lunis, Natalie </t>
  </si>
  <si>
    <t>Chimpanzees (Smart Animals)</t>
  </si>
  <si>
    <t>9780689834387</t>
  </si>
  <si>
    <t>The Ant’s Nest (Spectacular Animal Towns)</t>
  </si>
  <si>
    <t>The Fossil Feud (Fossil Hunters)</t>
  </si>
  <si>
    <t>Author</t>
  </si>
  <si>
    <t>L</t>
  </si>
  <si>
    <t>9781597162517</t>
  </si>
  <si>
    <t>M</t>
  </si>
  <si>
    <t xml:space="preserve">Searl, Duncan </t>
  </si>
  <si>
    <t>N</t>
  </si>
  <si>
    <t>O</t>
  </si>
  <si>
    <t>Wilderness Search Dogs (Dog Heroes)</t>
  </si>
  <si>
    <t>H</t>
  </si>
  <si>
    <t>9780823421954</t>
  </si>
  <si>
    <t>America's Gold Rush--John Sutter Discovers Gold In California</t>
  </si>
  <si>
    <t>I</t>
  </si>
  <si>
    <t>J</t>
  </si>
  <si>
    <t>Freedom Riders: John Lewis And Jim Zwerg On The Front Lines Of The Civil Rights Movement</t>
  </si>
  <si>
    <t xml:space="preserve">Spirn, Michele </t>
  </si>
  <si>
    <t>K</t>
  </si>
  <si>
    <t>Greene, Jacqueline Dembar</t>
  </si>
  <si>
    <t>Fer-de-lance (Fangs)</t>
  </si>
  <si>
    <t>U</t>
  </si>
  <si>
    <t>9780618507573</t>
  </si>
  <si>
    <t>In The Days Of The Vaqueros: America's First True Cowboys</t>
  </si>
  <si>
    <t>T</t>
  </si>
  <si>
    <t>Fire In Their Eyes: Wildfires and the People Who Fight Them</t>
  </si>
  <si>
    <t>W</t>
  </si>
  <si>
    <t xml:space="preserve">Ingram, Scott </t>
  </si>
  <si>
    <t>9780064461863</t>
  </si>
  <si>
    <t>V</t>
  </si>
  <si>
    <t>Winter, Jeanette</t>
  </si>
  <si>
    <t>Death Adders (Fangs)</t>
  </si>
  <si>
    <t>9781570915925</t>
  </si>
  <si>
    <t>Q</t>
  </si>
  <si>
    <t>Sherman, Pat</t>
  </si>
  <si>
    <t>P</t>
  </si>
  <si>
    <t>S</t>
  </si>
  <si>
    <t>Schanzer, Rosalyn</t>
  </si>
  <si>
    <t>R</t>
  </si>
  <si>
    <t>*Hana's Suitcase</t>
  </si>
  <si>
    <t>Moray Eel</t>
  </si>
  <si>
    <t>Chew On This (Young Readers Edition)</t>
  </si>
  <si>
    <t>Y</t>
  </si>
  <si>
    <t>X</t>
  </si>
  <si>
    <t>Left For Dead: A Young Man's Search For Justice For The USS Indianapolis</t>
  </si>
  <si>
    <t>Z</t>
  </si>
  <si>
    <t>9780618663910</t>
  </si>
  <si>
    <t>My Visit To The Aquarium</t>
  </si>
  <si>
    <t>9780618717163</t>
  </si>
  <si>
    <t>Leopard Seals</t>
  </si>
  <si>
    <t>Cowboys</t>
  </si>
  <si>
    <t>Outnumbered--Davy Crockett Fights His Final Battle At The Alamo</t>
  </si>
  <si>
    <t>*Pompeii... Buried Alive!</t>
  </si>
  <si>
    <t>9780689834394</t>
  </si>
  <si>
    <t>Pomeranian (Little Dogs Rock!)</t>
  </si>
  <si>
    <t>Blizzard! The Storm That Changed America</t>
  </si>
  <si>
    <t xml:space="preserve">The Honey Bee's Hive (Spectacular Animal Towns) </t>
  </si>
  <si>
    <t>Leardi, Jeanette</t>
  </si>
  <si>
    <t>9780395797266</t>
  </si>
  <si>
    <t>Hitler Youth: Growing Up In Hitler's Shadow</t>
  </si>
  <si>
    <t xml:space="preserve">Knox, Barbara </t>
  </si>
  <si>
    <t>Riley, Gail Blasser</t>
  </si>
  <si>
    <t>9781580135399</t>
  </si>
  <si>
    <t>9780307475251</t>
  </si>
  <si>
    <t xml:space="preserve">Markovics, Joyce L. </t>
  </si>
  <si>
    <t>Therapy Horses (Horse Power)</t>
  </si>
  <si>
    <t>Bodies From The Ash: Life And Death In Ancient Pompeii</t>
  </si>
  <si>
    <t>Dendy, Leslie and Boring, Mel</t>
  </si>
  <si>
    <t>Bishop, Nic</t>
  </si>
  <si>
    <t>*Children Of The Wild West</t>
  </si>
  <si>
    <t>Maestro, Betsy</t>
  </si>
  <si>
    <t xml:space="preserve">Sandler, Michael </t>
  </si>
  <si>
    <t>Nelson, Kadir</t>
  </si>
  <si>
    <t>We Are The Ship: The Story of Negro League Baseball</t>
  </si>
  <si>
    <t>*Growing Up In Coal Country</t>
  </si>
  <si>
    <t>*The Colony Of New York</t>
  </si>
  <si>
    <t>Polar Regions: Surviving in Antartica (X-treme Places)</t>
  </si>
  <si>
    <t>9780395664124</t>
  </si>
  <si>
    <t>Quest For The Tree Kangaroo: An Expedition To The Cloud Forest Of New Guinea</t>
  </si>
  <si>
    <t>The Story Of Money</t>
  </si>
  <si>
    <t>9780547014333</t>
  </si>
  <si>
    <t>Nightmare on the Titanic (Code Red)</t>
  </si>
  <si>
    <t>Children Of The Great Depression</t>
  </si>
  <si>
    <t>Hockey: Miracle On Ice (Upsets &amp; Comebacks)</t>
  </si>
  <si>
    <t>9781597162739</t>
  </si>
  <si>
    <t>Immigrant Kids</t>
  </si>
  <si>
    <t>Delta Force in Action (Special Ops)</t>
  </si>
  <si>
    <t>Mosquito Bite</t>
  </si>
  <si>
    <t>9780689822216</t>
  </si>
  <si>
    <t>Capuzzo, Michael</t>
  </si>
  <si>
    <t>9780618800452</t>
  </si>
  <si>
    <t>Stonefish: Needles of Pain</t>
  </si>
  <si>
    <t>Hollander, Phyllis and Zander</t>
  </si>
  <si>
    <t>Blue-Ringed Octopus: Small but Deadly</t>
  </si>
  <si>
    <t>Revenge Of The Whale: The True Story Of The Whaleship Of Essex</t>
  </si>
  <si>
    <t>The Oviraptor Adventure (Fossil Hunters)</t>
  </si>
  <si>
    <t>Jerome, Kate Boehm</t>
  </si>
  <si>
    <t xml:space="preserve">Nicholson, Edward </t>
  </si>
  <si>
    <t>Superfast Motorcycles (Ultimate Speed)</t>
  </si>
  <si>
    <t>The Hindenburg Disaster (Code Red)</t>
  </si>
  <si>
    <t>Murphy, Jim</t>
  </si>
  <si>
    <t>9780805088380</t>
  </si>
  <si>
    <t>My Season With Penguins: An Antarctic Journal</t>
  </si>
  <si>
    <t>Burns, Loree G.</t>
  </si>
  <si>
    <t>Hayden, Kate</t>
  </si>
  <si>
    <t>Hollywood Horses (Horse Power)</t>
  </si>
  <si>
    <t>Coming to America</t>
  </si>
  <si>
    <t>Dean, Arlan</t>
  </si>
  <si>
    <t>Toy Poodle (Little Dogs Rock!)</t>
  </si>
  <si>
    <t>Latham, Donna</t>
  </si>
  <si>
    <t>*Buried In Ice: The Mystery of a Lost Arctic Expedition</t>
  </si>
  <si>
    <t>9780590463782</t>
  </si>
  <si>
    <t>9780618593941</t>
  </si>
  <si>
    <t xml:space="preserve">Goldish, Meish </t>
  </si>
  <si>
    <t>Military Horses (Horse Power)</t>
  </si>
  <si>
    <t>Water Rescue Dogs (Dog Heroes)</t>
  </si>
  <si>
    <t>McCurdy, Michael</t>
  </si>
  <si>
    <t>9780792241737</t>
  </si>
  <si>
    <t>9781575058306</t>
  </si>
  <si>
    <t>9781597166256</t>
  </si>
  <si>
    <t>Oh, Rats! The Story Of Rats And People</t>
  </si>
  <si>
    <t>Superfast Planes (Ultimate Speed)</t>
  </si>
  <si>
    <t xml:space="preserve">Latham, Donna </t>
  </si>
  <si>
    <t>Fritz, Jean</t>
  </si>
  <si>
    <t>Evento, Susan</t>
  </si>
  <si>
    <t xml:space="preserve">White, Nancy </t>
  </si>
  <si>
    <t>Hammered By A Heat Wave!</t>
  </si>
  <si>
    <t xml:space="preserve">Goodman, Michael E. </t>
  </si>
  <si>
    <t>DeLallo, Laura</t>
  </si>
  <si>
    <t>Grizzly Bears: Saving the Silvertip (America's Animal Comebacks)</t>
  </si>
  <si>
    <t>*A Mother's Journey</t>
  </si>
  <si>
    <t>9781580135368</t>
  </si>
  <si>
    <t>Rudoplh, Jessica</t>
  </si>
  <si>
    <t>Rich Dad Poor Dad For Teens</t>
  </si>
  <si>
    <t>Barber, Tiki and Ronde Barber</t>
  </si>
  <si>
    <t>Dubowski, Mark</t>
  </si>
  <si>
    <t xml:space="preserve"> Feigenbaum, Aaron </t>
  </si>
  <si>
    <t>Guinea Pig Scientists: Bold Self-Experimenters In Science And Medicine</t>
  </si>
  <si>
    <t>SuperCroc (Fossil Hunters)</t>
  </si>
  <si>
    <t xml:space="preserve">Sitford, Mikaela </t>
  </si>
  <si>
    <t>*How My Family Lives In America</t>
  </si>
  <si>
    <t>California Condors: Saved by Captive Breeding (America's Animal Comebacks)</t>
  </si>
  <si>
    <t>Black Potatoes: The Story Of The Great Irish Famine, 1845-1850</t>
  </si>
  <si>
    <t>9780399239984</t>
  </si>
  <si>
    <t>9780812966602</t>
  </si>
  <si>
    <t>Montgomery, Sy</t>
  </si>
  <si>
    <t xml:space="preserve">Howard, Amanda </t>
  </si>
  <si>
    <t>Tara And Tiree, Fearless Friends: A True Story (Pets to the Rescue)</t>
  </si>
  <si>
    <t>The Tiny Titanosaurs (Fossil Hunters)</t>
  </si>
  <si>
    <t>Disasters At Sea</t>
  </si>
  <si>
    <t xml:space="preserve">Dubowski, Mark </t>
  </si>
  <si>
    <t>Fowler, Allan</t>
  </si>
  <si>
    <t>Boskey, Madeline</t>
  </si>
  <si>
    <t xml:space="preserve">Tagliaferro, Linda </t>
  </si>
  <si>
    <t>Ruffin, Frances E. and Melville, Wilma</t>
  </si>
  <si>
    <t>Kidnapping File (Crime Solvers)</t>
  </si>
  <si>
    <t>9780060086251</t>
  </si>
  <si>
    <t>Working Horses (Horse Power)</t>
  </si>
  <si>
    <t>Soccer: The Amazing U.S. World Cup Team (Upsets &amp; Comebacks)</t>
  </si>
  <si>
    <t>9780618548835</t>
  </si>
  <si>
    <t>Pararescuemen in Action (Special Ops)</t>
  </si>
  <si>
    <t>Source of Lexile</t>
  </si>
  <si>
    <t>Huge Earthmovers  (World's Biggest)</t>
  </si>
  <si>
    <t>9780689834417</t>
  </si>
  <si>
    <t>Collins, Kathleen</t>
  </si>
  <si>
    <t>9781936087471</t>
  </si>
  <si>
    <t>Feigenbaum, Aaron</t>
  </si>
  <si>
    <t>Person, Stephen</t>
  </si>
  <si>
    <t>Little Sure Shot--Annie Oakley Stars In Buffalo Bill's Wild Wild West Show</t>
  </si>
  <si>
    <t>Army Rangers in Action (Special Ops)</t>
  </si>
  <si>
    <t>9781936087563</t>
  </si>
  <si>
    <t>Pfeffer, Wendy</t>
  </si>
  <si>
    <t>Oceans: Surviving in the Deep Sea (X-treme Places)</t>
  </si>
  <si>
    <t>Wretched Ruins</t>
  </si>
  <si>
    <t xml:space="preserve">Fetty, Margaret </t>
  </si>
  <si>
    <t>Serial Killer File (Crime Solvers)</t>
  </si>
  <si>
    <t xml:space="preserve">Person, Stephen </t>
  </si>
  <si>
    <t>Koko's Kitten</t>
  </si>
  <si>
    <t>9781416934837</t>
  </si>
  <si>
    <t>9781575057484</t>
  </si>
  <si>
    <t>9780385486804</t>
  </si>
  <si>
    <t>Helen Keller And The Big Storm</t>
  </si>
  <si>
    <t>Military Dogs (Dog Heroes)</t>
  </si>
  <si>
    <t>Fireboat: The Heroic Adventures Of The John J. Harvey</t>
  </si>
  <si>
    <t>9780590673105</t>
  </si>
  <si>
    <t>Bueche, Shelley and Puls, Chris</t>
  </si>
  <si>
    <t>Dachshund (Little Dogs Rock!)</t>
  </si>
  <si>
    <t>9780823961740</t>
  </si>
  <si>
    <t>Ehrenreich, Barbara</t>
  </si>
  <si>
    <t>9780618369232</t>
  </si>
  <si>
    <t>9780807531471</t>
  </si>
  <si>
    <t>Patterson, Francine</t>
  </si>
  <si>
    <t>Palace of Versailles: France's Royal Jewel (Castles, Palaces &amp; Tombs)</t>
  </si>
  <si>
    <t>9780805073164</t>
  </si>
  <si>
    <t>9780545130493</t>
  </si>
  <si>
    <t>Thimmesh, Catherine</t>
  </si>
  <si>
    <t>9781597169462</t>
  </si>
  <si>
    <t>Chihuahua (Little Dogs Rock!)</t>
  </si>
  <si>
    <t>Sneeze!</t>
  </si>
  <si>
    <t>Ibis: A True Whale Story</t>
  </si>
  <si>
    <t>Levine, Karen</t>
  </si>
  <si>
    <t>9781936087495</t>
  </si>
  <si>
    <t>Knox, Barbara</t>
  </si>
  <si>
    <t>Sojourner Truth: Equal Rights Advocate</t>
  </si>
  <si>
    <t>Unleveled</t>
  </si>
  <si>
    <t>Ben And The Emancipation Proclamation</t>
  </si>
  <si>
    <t>9781597169448</t>
  </si>
  <si>
    <t>Cars On Mars: Roving the Red Planet</t>
  </si>
  <si>
    <t>Robbery File (Crime Solvers)</t>
  </si>
  <si>
    <t>The Challenger Space Shuttle Explosion (Code Red)</t>
  </si>
  <si>
    <t>Red Wolves: And Then There Were (Almost) None (America's Animal Comebacks)</t>
  </si>
  <si>
    <t>Superfast Trucks (Ultimate Speed)</t>
  </si>
  <si>
    <t>9781936087549</t>
  </si>
  <si>
    <t>Blitzed By A Blizzard!</t>
  </si>
  <si>
    <t>9781570916540</t>
  </si>
  <si>
    <t>9780547248929</t>
  </si>
  <si>
    <t>Mailing May</t>
  </si>
  <si>
    <t>9781597169455</t>
  </si>
  <si>
    <t>*Owen And Mzee: The True Story Of A Remarkable Friendship</t>
  </si>
  <si>
    <t>9780689834400</t>
  </si>
  <si>
    <t>9781575057460</t>
  </si>
  <si>
    <t>Kurlansky, Mark</t>
  </si>
  <si>
    <t>Fire Dogs (Dog Heroes)</t>
  </si>
  <si>
    <t>9780698116245</t>
  </si>
  <si>
    <t>Cool Snowboarders</t>
  </si>
  <si>
    <t>Navy SEALs in Action (Special Ops)</t>
  </si>
  <si>
    <t xml:space="preserve">Leardi, Jeanette </t>
  </si>
  <si>
    <t>9781426300424</t>
  </si>
  <si>
    <t>Team Moon: How 400,000 People Landed "Apollo 11" On The Moon</t>
  </si>
  <si>
    <t>Philbrick, Nathaniel</t>
  </si>
  <si>
    <t>9781575057446</t>
  </si>
  <si>
    <t>Silverman, Maida and Melville, Wilma</t>
  </si>
  <si>
    <t>Sandler, Michael</t>
  </si>
  <si>
    <t>Abandoned Insane Asylums</t>
  </si>
  <si>
    <t>Preston, Richard</t>
  </si>
  <si>
    <t>9781936087488</t>
  </si>
  <si>
    <t>Weddell Seal (Uncommon Animals)</t>
  </si>
  <si>
    <t>Dolores And The Big Fire</t>
  </si>
  <si>
    <t>Police Dogs (Dog Heroes)</t>
  </si>
  <si>
    <t>Devastated By A Volcano!</t>
  </si>
  <si>
    <t>9781936087556</t>
  </si>
  <si>
    <t>Superfast Cars (Ultimate Speed)</t>
  </si>
  <si>
    <t>9780448409474</t>
  </si>
  <si>
    <t>9780448412702</t>
  </si>
  <si>
    <t>Superfast Rockets (Ultimate Speed)</t>
  </si>
  <si>
    <t>9780394809830</t>
  </si>
  <si>
    <t>Freaky-big Airplanes (World's Biggest)</t>
  </si>
  <si>
    <t>The Triangle Shirtwaist Factory Fire (Code Red)</t>
  </si>
  <si>
    <t xml:space="preserve">Scher, Linda </t>
  </si>
  <si>
    <t>9781575057453</t>
  </si>
  <si>
    <t>Hatkoff, Isabella, et al.</t>
  </si>
  <si>
    <t>Castle Dracula: Romania's Vampire Home (Castles, Palaces &amp; Tombs)</t>
  </si>
  <si>
    <t>*Chocolate By Hershey: A Story About Milton S. Hershey</t>
  </si>
  <si>
    <t>Cactus Hotel</t>
  </si>
  <si>
    <t>Seizure-Alert Dogs (Dog Heroes)</t>
  </si>
  <si>
    <t>9780516258294</t>
  </si>
  <si>
    <t>PKMzdW5xUec=</t>
  </si>
  <si>
    <t>9781936087525</t>
  </si>
  <si>
    <t>Service Dogs (Dog Heroes)</t>
  </si>
  <si>
    <t>An American Plague: The True And Terrifying Story Of The Yellow Fever Epidemic Of 1793</t>
  </si>
  <si>
    <t>Southern Sea Otters: Fur-tastrophe Avoided (America's Animal Comebacks)</t>
  </si>
  <si>
    <t>9780375810497</t>
  </si>
  <si>
    <t>DePaola, Tomie</t>
  </si>
  <si>
    <t>9780064437240</t>
  </si>
  <si>
    <t>Arctic Fox (Uncommon Animals)</t>
  </si>
  <si>
    <t>9781575057439</t>
  </si>
  <si>
    <t>American Bison: A Scary Prediction (America's Animal Comebacks)</t>
  </si>
  <si>
    <t>Dark Labyrinths</t>
  </si>
  <si>
    <t>9780688133047</t>
  </si>
  <si>
    <t>Commodore Perry In The Land Of The Shogun</t>
  </si>
  <si>
    <t>9781597169431</t>
  </si>
  <si>
    <t>Hoose, Phillip M.</t>
  </si>
  <si>
    <t>9780375822315</t>
  </si>
  <si>
    <t xml:space="preserve">Apte, Sunita </t>
  </si>
  <si>
    <t>Owen And Mzee: The Language Of Friendship</t>
  </si>
  <si>
    <t>The Texas City Disaster  (Code Red)</t>
  </si>
  <si>
    <t>Nickel And Dimed: On (Not) Getting By In America</t>
  </si>
  <si>
    <t>Tracking Trash: Flotsam, Jetsam, And The Science Of Ocean Motion</t>
  </si>
  <si>
    <t>Webb, Sophie</t>
  </si>
  <si>
    <t>Black-footed Ferrets (America's Animal Comebacks)</t>
  </si>
  <si>
    <t>Fein, Eric</t>
  </si>
  <si>
    <t>Emergency at Three Mile Island (Code Red)</t>
  </si>
  <si>
    <t>Haunted Houses (Scary Places)</t>
  </si>
  <si>
    <t>Title/Series</t>
  </si>
  <si>
    <t>Marine Force Recon in Action (Special Ops)</t>
  </si>
  <si>
    <t>*Jackie Robinson Breaks The Color Line</t>
  </si>
  <si>
    <t>9781936087532</t>
  </si>
  <si>
    <t>Caper, William</t>
  </si>
  <si>
    <t>9781570914096</t>
  </si>
  <si>
    <t>9780689843884</t>
  </si>
  <si>
    <t>Fire Horses (Horse Power)</t>
  </si>
  <si>
    <t>9781597169417</t>
  </si>
  <si>
    <t>Tunnell, Michael O.</t>
  </si>
  <si>
    <t>Sea Lions (Smart Animals)</t>
  </si>
  <si>
    <t>Beagle (Little Dogs Rock!)</t>
  </si>
  <si>
    <t>9781578050857</t>
  </si>
  <si>
    <t>Runyon, Brent</t>
  </si>
  <si>
    <t>9781597169424</t>
  </si>
  <si>
    <t>9780394888668</t>
  </si>
  <si>
    <t>Clements, Andrew</t>
  </si>
  <si>
    <t>9781595720405</t>
  </si>
  <si>
    <t>*Baseball's Best: Five True Stories</t>
  </si>
  <si>
    <t>Aronson, Marc</t>
  </si>
  <si>
    <t xml:space="preserve">Ball, Jacqueline A. </t>
  </si>
  <si>
    <t>9781936087501</t>
  </si>
  <si>
    <t>9780618446308</t>
  </si>
  <si>
    <t>*Walk In The Tundra</t>
  </si>
  <si>
    <t>Coral Snakes (Fangs)</t>
  </si>
  <si>
    <t>9780805029604</t>
  </si>
  <si>
    <t>Parrots (Smart Animals)</t>
  </si>
  <si>
    <t>The Perfect Storm: A True Story Of Men Against The Sea</t>
  </si>
  <si>
    <t>9781575057422</t>
  </si>
  <si>
    <t>Turner, Pamela S.</t>
  </si>
  <si>
    <t>9780516265353</t>
  </si>
  <si>
    <t>A Wreath For Emmett Till</t>
  </si>
  <si>
    <t>Donkin, Andrew</t>
  </si>
  <si>
    <t xml:space="preserve">M
</t>
  </si>
  <si>
    <t>Armstrong, Jennifer</t>
  </si>
  <si>
    <t>Space: Surviving in Zero-G (X-treme Places)</t>
  </si>
  <si>
    <t>9780688087463</t>
  </si>
  <si>
    <t>By My Brother's Side</t>
  </si>
  <si>
    <t>The Story Of Salt</t>
  </si>
  <si>
    <t>The Albertosaurus Mystery (Fossil Hunters)</t>
  </si>
  <si>
    <t>9780385730914</t>
  </si>
  <si>
    <t>9781597161718</t>
  </si>
  <si>
    <t>9780516466910</t>
  </si>
  <si>
    <t>Krakauer, Jon</t>
  </si>
  <si>
    <t xml:space="preserve">Riley, Gail Blasser </t>
  </si>
  <si>
    <t>Erased By A Tornado!</t>
  </si>
  <si>
    <t>9781597169509</t>
  </si>
  <si>
    <t>9780876146415</t>
  </si>
  <si>
    <t>9780802776334</t>
  </si>
  <si>
    <t>White, Nancy</t>
  </si>
  <si>
    <t>Wolves</t>
  </si>
  <si>
    <t xml:space="preserve">Rao, Lisa </t>
  </si>
  <si>
    <t>*Cowboys Of The Wild West</t>
  </si>
  <si>
    <t>Jack Russell Terrier (Little Dogs Rock!)</t>
  </si>
  <si>
    <t>9781936087518</t>
  </si>
  <si>
    <t>Bodies From The Ice: Melting Glaciers And The Rediscovery Of The Past</t>
  </si>
  <si>
    <t>Kellogg, Steven</t>
  </si>
  <si>
    <t>Level</t>
  </si>
  <si>
    <t>Nelson, Peter</t>
  </si>
  <si>
    <t>Bunnett, Rochelle</t>
  </si>
  <si>
    <t>Save The Rain Forests</t>
  </si>
  <si>
    <t>9780516260846</t>
  </si>
  <si>
    <t>Deem, James M.</t>
  </si>
  <si>
    <t>9781580135191</t>
  </si>
  <si>
    <t>King Cobras (Fangs)</t>
  </si>
  <si>
    <t xml:space="preserve">Nobleman, Marc Tyler </t>
  </si>
  <si>
    <t>Bausum, Ann</t>
  </si>
  <si>
    <t>Gorilla Doctors: Saving Endangered Great Apes</t>
  </si>
  <si>
    <t>My Brother Martin: A Sister Remembers Growing Up With The Rev. Dr. Martin Luther King, Jr.</t>
  </si>
  <si>
    <t>Mattern, Joanne and Sanfilippo, Margaret</t>
  </si>
  <si>
    <t>Hollywood Dogs (Dog Heroes)</t>
  </si>
  <si>
    <t>The Great Pyramid (Castles, Palaces &amp; Tombs)</t>
  </si>
  <si>
    <t>Crows (Smart Animals)</t>
  </si>
  <si>
    <t>Herman, John</t>
  </si>
  <si>
    <t>The Beaver’s Lodge (Spectacular Animal Towns)</t>
  </si>
  <si>
    <t>The Boys' War</t>
  </si>
  <si>
    <t>Across America On An Emigrant Train</t>
  </si>
  <si>
    <t>Platypus (Uncommon Animals)</t>
  </si>
  <si>
    <t>Windsor Castle: England's Royal Fortress (Castles, Palaces &amp; Tombs)</t>
  </si>
  <si>
    <t>Forbidden City: China's Imperial Palace (Castles, Palaces &amp; Tombs)</t>
  </si>
  <si>
    <t xml:space="preserve">Mountains: Surviving on Mt. Everest (X-treme Places)
</t>
  </si>
  <si>
    <t>Marrin, Albert</t>
  </si>
  <si>
    <t>Leveled By An Earthquake!</t>
  </si>
  <si>
    <t>Markovics, Joyce L.</t>
  </si>
  <si>
    <t>Orangutans (Smart Animals)</t>
  </si>
  <si>
    <t>9780618111190</t>
  </si>
  <si>
    <t>9781597164047</t>
  </si>
  <si>
    <t>The Last Stand--General George Armstrong Custer Leads His Final Military Campaign</t>
  </si>
  <si>
    <t>Green Berets in Action (Special Ops)</t>
  </si>
  <si>
    <t>Kunhardt, Edith</t>
  </si>
  <si>
    <t>Lexile Measure</t>
  </si>
  <si>
    <t>Schlosser, Eric</t>
  </si>
  <si>
    <t>Aronin, Miriam</t>
  </si>
  <si>
    <t>Bermuda Triangle</t>
  </si>
  <si>
    <t>Polar Bears</t>
  </si>
  <si>
    <t>Rattlesnakes</t>
  </si>
  <si>
    <t>Scams!</t>
  </si>
  <si>
    <t>Florida Panthers (American's Animal Comebacks)</t>
  </si>
  <si>
    <t>*Kids At Work: Lewis Hine And The Crusade Against Child Labor</t>
  </si>
  <si>
    <t>Therapy Dogs (Dog Heroes)</t>
  </si>
  <si>
    <t>Rain Forests: Surviving in the Amazon (X-treme Places)</t>
  </si>
  <si>
    <t>Blumberg, Rhoda</t>
  </si>
  <si>
    <t>Mangled By A Hurricane!</t>
  </si>
  <si>
    <t>Sitting Bull</t>
  </si>
  <si>
    <t>Ruffin, Frances E.</t>
  </si>
  <si>
    <t>An Earthworm's Life</t>
  </si>
  <si>
    <t>The Radioactive Boy Scout: The Frightening True Story of a Whiz Kid and His Homemade Nuclear Reactor</t>
  </si>
  <si>
    <t>Mountain Lions</t>
  </si>
  <si>
    <t>9781597160131</t>
  </si>
  <si>
    <t>Footprints On The Moon</t>
  </si>
  <si>
    <t>Scholastic</t>
  </si>
  <si>
    <t>*Buddy, The First Seeing Eye Dog</t>
  </si>
  <si>
    <t>Super Surfers</t>
  </si>
  <si>
    <t>9780439576789</t>
  </si>
  <si>
    <t>The Cod's Tale</t>
  </si>
  <si>
    <t>Crocodiles</t>
  </si>
  <si>
    <t>Hearst Castle: An American Palace (Castles, Palaces &amp; Tombs)</t>
  </si>
  <si>
    <t>9781575055268</t>
  </si>
  <si>
    <t>Witch-Hunt: Mysteries Of The Salem Witch Trials</t>
  </si>
  <si>
    <t>Spooky Cemeteries</t>
  </si>
  <si>
    <t>Scholstic</t>
  </si>
  <si>
    <t>American Alligators (America's Animal Comebacks)</t>
  </si>
  <si>
    <t>Slammed By A Tsunami!</t>
  </si>
  <si>
    <t>Pug (Little Dogs Rock!)</t>
  </si>
  <si>
    <t>Kuklin, Susan</t>
  </si>
  <si>
    <t>Dogs (Smart Animals)</t>
  </si>
  <si>
    <t>*Amazing But True Sports Stories</t>
  </si>
  <si>
    <t>9780140375947</t>
  </si>
  <si>
    <t>Brenner, Martha</t>
  </si>
  <si>
    <t>The Burn Journals</t>
  </si>
  <si>
    <t>Race Horses (Horse Power)</t>
  </si>
  <si>
    <t>9780152010423</t>
  </si>
  <si>
    <t>Bald Eagles America's Animal Comebacks)</t>
  </si>
  <si>
    <t>9781597160124</t>
  </si>
  <si>
    <t>*The California Gold Rush</t>
  </si>
  <si>
    <t>Mama: A True Story</t>
  </si>
  <si>
    <t>Cold Case File (Crime Solvers)</t>
  </si>
  <si>
    <t>Phineas Gage: A Gruesome But True Story About Brain Science</t>
  </si>
  <si>
    <t>An Inconvenient Truth: The Crisis Of Global Warming (Young Readers Edition)</t>
  </si>
  <si>
    <t>Into The Wild</t>
  </si>
  <si>
    <t>*Abe Lincoln's Hat</t>
  </si>
  <si>
    <t>McDaniel, Melissa and Melville, Wilma</t>
  </si>
  <si>
    <t>Wild Weather: Hurricanes!</t>
  </si>
  <si>
    <t>Elephants (Smart Animals)</t>
  </si>
  <si>
    <t>Florida Manatees (America's Animal Comebacks)</t>
  </si>
  <si>
    <t>Wolves (Smart Animals)</t>
  </si>
  <si>
    <t>9780823941933</t>
  </si>
  <si>
    <t>Penner, Lucille Recht</t>
  </si>
  <si>
    <t>The Prairie Dog’s Town (Spectacular Animal Towns)</t>
  </si>
  <si>
    <t>Shark: The Shredder</t>
  </si>
  <si>
    <t xml:space="preserve">Beech, Linda Ward </t>
  </si>
  <si>
    <t>Creepy Castles</t>
  </si>
  <si>
    <t>Greenberg, Daniel A. and Melville, Wilma</t>
  </si>
  <si>
    <t>Lakin, Patricia</t>
  </si>
  <si>
    <t>Gutelle, Andrew</t>
  </si>
  <si>
    <t>Johnson, Rebecca</t>
  </si>
  <si>
    <t>Hatkoff, Isabella and Craig with Paula Kahumbu</t>
  </si>
  <si>
    <t>Baseball: The 2004 Boston Red Sox</t>
  </si>
  <si>
    <t>Anderson, Bendix And Melville, Wilma</t>
  </si>
  <si>
    <t>Junger, Sebastian</t>
  </si>
  <si>
    <t>9780439203074</t>
  </si>
  <si>
    <t>McDaniel, Melissa And Melville, Wilma</t>
  </si>
  <si>
    <t>The 2001 World Trade Center Attack (Code Red)</t>
  </si>
  <si>
    <t>The Bat’s Cave (Spectacular Animal Towns)</t>
  </si>
  <si>
    <t>Great White Sharks</t>
  </si>
  <si>
    <t>Burns, Loree Griffin</t>
  </si>
  <si>
    <t>9781597169486</t>
  </si>
  <si>
    <t>Heller, Ruth</t>
  </si>
  <si>
    <t>Gone A-Whaling: The Lure Of The Sea And The Hunt For The Great Whale</t>
  </si>
  <si>
    <t xml:space="preserve">McHugh, Janet </t>
  </si>
  <si>
    <t>Tasmanian Devil (Uncommon Animals)</t>
  </si>
  <si>
    <t>The Race To Save The Lord God Bird</t>
  </si>
  <si>
    <t>ISBN</t>
  </si>
  <si>
    <t>Lunis, Natalie and Sereno, Paul</t>
  </si>
  <si>
    <t>Red, White And Blue</t>
  </si>
  <si>
    <t xml:space="preserve">Nichols, Catherine </t>
  </si>
  <si>
    <t xml:space="preserve">Padma, T.V. </t>
  </si>
  <si>
    <t>Curlee, Lynn</t>
  </si>
  <si>
    <t>Pigs (Smart Animals)</t>
  </si>
  <si>
    <t>The Frog Scientist</t>
  </si>
  <si>
    <t>Bash, Barbara</t>
  </si>
  <si>
    <t>Lexile.com</t>
  </si>
  <si>
    <t>9780618354023</t>
  </si>
  <si>
    <t>Beattie, Owen And Geiger, John</t>
  </si>
  <si>
    <t>Haskins, Lori</t>
  </si>
  <si>
    <t>*Johnny Appleseed</t>
  </si>
  <si>
    <t xml:space="preserve">Gordon, Olivia </t>
  </si>
  <si>
    <t>Source of Level</t>
  </si>
  <si>
    <t>9781597169493</t>
  </si>
  <si>
    <t>The Coral Reef (Spectacular Animal Towns)</t>
  </si>
  <si>
    <t>The Hive Detectives</t>
  </si>
  <si>
    <t>9780618915774</t>
  </si>
  <si>
    <t>9780525477624</t>
  </si>
  <si>
    <t>Natural Disasters</t>
  </si>
  <si>
    <t>Markle, Sandra</t>
  </si>
  <si>
    <t>*Freedom Walkers: The Story Of The Montgomery Bus Boycott</t>
  </si>
  <si>
    <t>Stein, R. Conrad</t>
  </si>
  <si>
    <t>Saving the Ghost of the Mountain: An Expedition Among Snow Leopards in Mongolia</t>
  </si>
  <si>
    <t>Sled Dogs (Dog Heroes)</t>
  </si>
  <si>
    <t>Beil, Karen M.</t>
  </si>
  <si>
    <t>9780789429605</t>
  </si>
  <si>
    <t xml:space="preserve">Scholastic
</t>
  </si>
  <si>
    <t>9780516265568</t>
  </si>
  <si>
    <t>Reingold, Adam</t>
  </si>
  <si>
    <t>Rally Car Dudes</t>
  </si>
  <si>
    <t>Fire Fighter</t>
  </si>
  <si>
    <t>George Vs. George: The American Revolution As Seen From Both Sides</t>
  </si>
  <si>
    <t>Narrative Nonfiction Booklist</t>
  </si>
  <si>
    <t>McWhorter, Diane</t>
  </si>
  <si>
    <t>Yorkshire Terrier (Little Dogs Rock!)</t>
  </si>
  <si>
    <t>9780516246055</t>
  </si>
  <si>
    <t>Walker, Sally M.</t>
  </si>
  <si>
    <t>Bartoletti, Susan C.</t>
  </si>
  <si>
    <t>9780823943548</t>
  </si>
  <si>
    <t>9781597160193</t>
  </si>
  <si>
    <t>*Desert Giant</t>
  </si>
  <si>
    <t>9780516260310</t>
  </si>
  <si>
    <t>9780590438490</t>
  </si>
  <si>
    <t>The Tarantula Scientist</t>
  </si>
  <si>
    <t>Kalman, Maira</t>
  </si>
  <si>
    <t>Twenty-One Elephants And Still Standing</t>
  </si>
  <si>
    <t>9781570914621</t>
  </si>
  <si>
    <t>Whales (Smart Animals)</t>
  </si>
  <si>
    <t>Crowe, Chris</t>
  </si>
  <si>
    <t>Brooklyn Bridge</t>
  </si>
  <si>
    <t>Truce</t>
  </si>
  <si>
    <t>9780395764831</t>
  </si>
  <si>
    <t>The Exxon Valdez's Deadly Oil Spill</t>
  </si>
  <si>
    <t>9781580135405</t>
  </si>
  <si>
    <t>9780698117785</t>
  </si>
  <si>
    <t>Close To Shore: The Terrifying Shark Attacks Of 1916</t>
  </si>
  <si>
    <t>Crossing The Delaware--George Washington Fights In The Battle Of Trenton</t>
  </si>
  <si>
    <t>Grizzly Bears</t>
  </si>
  <si>
    <t>9781597160186</t>
  </si>
  <si>
    <t>Police Horses (Horse Power)</t>
  </si>
  <si>
    <t>Security Dogs (Dog Heroes)</t>
  </si>
  <si>
    <t>Siy, Alexandra and Kunkel, Dennis</t>
  </si>
  <si>
    <t>9780439353793</t>
  </si>
  <si>
    <t>9780689865596</t>
  </si>
  <si>
    <t>*Shh! We're Writing The Constitution</t>
  </si>
  <si>
    <t xml:space="preserve">Deserts: Surviving in the Sahara (X-treme Places) </t>
  </si>
  <si>
    <t>Silverstein, Ken</t>
  </si>
  <si>
    <t>A Log's Life</t>
  </si>
  <si>
    <t>Who Was First? Discovering The Americas</t>
  </si>
  <si>
    <t xml:space="preserve">Yomtov, Nel </t>
  </si>
  <si>
    <t>Murder File (Crime Solvers)</t>
  </si>
  <si>
    <t>Chickens Aren't The Only Ones</t>
  </si>
  <si>
    <t>King Ludwig's Castle: Germany's Neuschwanstein  (Castles, Palaces &amp; Tombs)</t>
  </si>
  <si>
    <t>Into Thin Air</t>
  </si>
  <si>
    <t>978-1-59716-255-5</t>
  </si>
  <si>
    <t>9780823943661</t>
  </si>
  <si>
    <t>9780142400685</t>
  </si>
  <si>
    <t>Secrets Of A Civil War Submarine: Solving The Mysteries Of The H.L. Hunley</t>
  </si>
  <si>
    <t>Black Mambas (Fangs)</t>
  </si>
  <si>
    <t>Kakapo Rescue</t>
  </si>
  <si>
    <t>Haunted Hotels</t>
  </si>
  <si>
    <t>Fetty, Margaret</t>
  </si>
  <si>
    <t>*Getting Away With Murder: The True Story Of The Emmett Till Case</t>
  </si>
  <si>
    <t>9781570916229</t>
  </si>
  <si>
    <t>Friends At School</t>
  </si>
  <si>
    <t>9780590682138</t>
  </si>
  <si>
    <t>Superfast Trains (Ultimate Speed)</t>
  </si>
  <si>
    <t xml:space="preserve">Caper, William </t>
  </si>
  <si>
    <t>9781597165761</t>
  </si>
  <si>
    <t>Aye Aye (Uncommon Animals)</t>
  </si>
  <si>
    <t>Disaster Search Dogs</t>
  </si>
  <si>
    <t>Combat-Wounded Dogs (Dog Heroes)</t>
  </si>
  <si>
    <t>9781597165754</t>
  </si>
  <si>
    <t>Santella, Andrew</t>
  </si>
  <si>
    <t>Gray Wolves: Return to Yellowstone (America's Animal Comebacks)</t>
  </si>
  <si>
    <t>Gorillas (Smart Animals)</t>
  </si>
  <si>
    <t>9780590428491</t>
  </si>
  <si>
    <t>9780789128515</t>
  </si>
  <si>
    <t>Bodies From The Bog</t>
  </si>
  <si>
    <t>9781597168656</t>
  </si>
  <si>
    <t>*The Great Fire</t>
  </si>
  <si>
    <t>Edinburgh Castle (Castles, Palaces &amp; Tombs)</t>
  </si>
  <si>
    <t>Schroeder, Andreas</t>
  </si>
  <si>
    <t>Tagliaferro, Linda And Wilma Melville</t>
  </si>
  <si>
    <t>McKissack, Patricia and Fredrick</t>
  </si>
  <si>
    <t>Lunis, Natalie</t>
  </si>
  <si>
    <t>Fossa (Uncommon Animals)</t>
  </si>
  <si>
    <t xml:space="preserve">Packard, Mary </t>
  </si>
  <si>
    <t>9781597160162</t>
  </si>
  <si>
    <t>9780689831836</t>
  </si>
  <si>
    <t>Aliki</t>
  </si>
  <si>
    <t>Mattern, Joanne</t>
  </si>
  <si>
    <t>9780618448876</t>
  </si>
  <si>
    <t>Himeji Castle: Japan's Samurai Past (Castles, Palaces &amp; Tombs)</t>
  </si>
  <si>
    <t>Parvis, Sarah</t>
  </si>
  <si>
    <t>Brave Norman (Pets to the Rescue)</t>
  </si>
  <si>
    <t>Heart-stopping Roller Coasters (World's Biggest)</t>
  </si>
  <si>
    <t>Guide Dogs (Dog Heroes)</t>
  </si>
  <si>
    <t>9781597160155</t>
  </si>
  <si>
    <t>Hopping, Lorraine Jean</t>
  </si>
  <si>
    <t>9780399234767</t>
  </si>
  <si>
    <t xml:space="preserve">Reingold, Adam </t>
  </si>
  <si>
    <t>9780618432349</t>
  </si>
  <si>
    <t>9781597165747</t>
  </si>
  <si>
    <t>9780374361730</t>
  </si>
  <si>
    <t>9780395547854</t>
  </si>
  <si>
    <t>Royston, Angela</t>
  </si>
  <si>
    <t>9781597168649</t>
  </si>
  <si>
    <t>Killer Whales</t>
  </si>
  <si>
    <t>9781597160148</t>
  </si>
  <si>
    <t>Atomic Universe</t>
  </si>
  <si>
    <t>Z+</t>
  </si>
  <si>
    <t>Farris, Christine King</t>
  </si>
  <si>
    <t>Superfast Boats (Ultimate Speed)</t>
  </si>
  <si>
    <t>Titanic Trucks  (World's Biggest)</t>
  </si>
  <si>
    <t>9781597165730</t>
  </si>
  <si>
    <t>Williams, Dinah</t>
  </si>
  <si>
    <t>9780395776087</t>
  </si>
  <si>
    <t>9781597161428</t>
  </si>
  <si>
    <t>Guiberson, Brenda Z.</t>
  </si>
  <si>
    <t>Ringo Saves The Day: A True Story (Pets to the Rescue)</t>
  </si>
  <si>
    <t>Owls</t>
  </si>
  <si>
    <t>9780823405336</t>
  </si>
  <si>
    <t>Foxes</t>
  </si>
  <si>
    <t>Gore, Albert</t>
  </si>
  <si>
    <t>9780789454157</t>
  </si>
  <si>
    <t xml:space="preserve">Trumbauer, Lisa </t>
  </si>
  <si>
    <t>Goldish, Meish</t>
  </si>
  <si>
    <t xml:space="preserve">Houran, Lori Haskins </t>
  </si>
  <si>
    <t>Whitehurst, Susan</t>
  </si>
  <si>
    <t>Diamondback Rattlers (Fangs)</t>
  </si>
  <si>
    <t>Shipwreck At The Bottom Of The World: The Extraordinary True Story Of Shackleton And The Endurance</t>
  </si>
  <si>
    <t>The Hot Zone: A Terrifying True Story</t>
  </si>
  <si>
    <t>9781597165624</t>
  </si>
  <si>
    <t>9781597160179</t>
  </si>
  <si>
    <t>Gnarly Skateboarders</t>
  </si>
  <si>
    <t>The Snake Scientist</t>
  </si>
  <si>
    <t>Show Horses (Horse Power)</t>
  </si>
  <si>
    <t>Freedman, Russell</t>
  </si>
  <si>
    <t>Project Seahorse</t>
  </si>
  <si>
    <t>Fountas and Pinnell</t>
  </si>
  <si>
    <t>Stern, Steven L.</t>
  </si>
  <si>
    <t>Lions</t>
  </si>
  <si>
    <t>9780786808328</t>
  </si>
  <si>
    <t>A T. Rex Named Sue (Fossil Hunters)</t>
  </si>
  <si>
    <t>*Black Diamond: The Story Of The Negro Baseball Leagues</t>
  </si>
  <si>
    <t>9781597161411</t>
  </si>
  <si>
    <t>The Maiasaura Nests (Fossil Hunters)</t>
  </si>
  <si>
    <t>*Twisters!</t>
  </si>
  <si>
    <t>Kiyosaki, Robert T. and Lechter, Sharon L.</t>
  </si>
  <si>
    <t>9780803728042</t>
  </si>
  <si>
    <t>Octopuses (Smart Animals)</t>
  </si>
  <si>
    <t>Terrorist File (Crime Solvers)</t>
  </si>
  <si>
    <t>Prince, April Jones</t>
  </si>
  <si>
    <t>Burford, Betty</t>
  </si>
  <si>
    <t xml:space="preserve">Tagliaferro, Linda And Melville, Wilma </t>
  </si>
  <si>
    <t>Books Written in Story Form that Teach About a Topic or Subject</t>
  </si>
  <si>
    <t>The asterisked titles have been officially leveled by Irene Fountas, Gay Su Pinnell, and their trained levelers and other systems that use level designations are not equivalent to theirs.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</si>
</sst>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1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17.140625" defaultRowHeight="12.75" customHeight="1"/>
  <cols>
    <col min="1" max="1" width="38.8515625" style="0" customWidth="1"/>
    <col min="2" max="2" width="24.421875" style="0" customWidth="1"/>
    <col min="3" max="3" width="14.421875" style="0" customWidth="1"/>
    <col min="4" max="4" width="18.57421875" style="0" customWidth="1"/>
    <col min="5" max="5" width="17.140625" style="0" customWidth="1"/>
    <col min="6" max="6" width="12.140625" style="0" customWidth="1"/>
    <col min="7" max="7" width="17.140625" style="0" customWidth="1"/>
  </cols>
  <sheetData>
    <row r="1" ht="12.75" customHeight="1">
      <c r="A1" s="1" t="s">
        <v>538</v>
      </c>
    </row>
    <row r="2" ht="12.75" customHeight="1">
      <c r="A2" s="2" t="s">
        <v>682</v>
      </c>
    </row>
    <row r="3" ht="12.75" customHeight="1">
      <c r="A3" s="2" t="s">
        <v>683</v>
      </c>
    </row>
    <row r="4" spans="1:7" ht="12.75" customHeight="1">
      <c r="A4" s="2" t="s">
        <v>331</v>
      </c>
      <c r="B4" s="2" t="s">
        <v>51</v>
      </c>
      <c r="C4" s="3" t="s">
        <v>503</v>
      </c>
      <c r="D4" s="2" t="s">
        <v>388</v>
      </c>
      <c r="E4" s="2" t="s">
        <v>518</v>
      </c>
      <c r="F4" s="2" t="s">
        <v>421</v>
      </c>
      <c r="G4" s="2" t="s">
        <v>209</v>
      </c>
    </row>
    <row r="5" spans="1:5" ht="12.75" customHeight="1">
      <c r="A5" s="4" t="s">
        <v>646</v>
      </c>
      <c r="B5" s="4" t="s">
        <v>347</v>
      </c>
      <c r="C5" s="5" t="s">
        <v>101</v>
      </c>
      <c r="D5" s="4" t="s">
        <v>59</v>
      </c>
      <c r="E5" s="4" t="s">
        <v>441</v>
      </c>
    </row>
    <row r="6" spans="1:5" ht="12.75" customHeight="1">
      <c r="A6" s="4" t="s">
        <v>195</v>
      </c>
      <c r="B6" s="4" t="s">
        <v>347</v>
      </c>
      <c r="C6" s="5" t="s">
        <v>211</v>
      </c>
      <c r="D6" s="4" t="s">
        <v>59</v>
      </c>
      <c r="E6" s="4" t="s">
        <v>441</v>
      </c>
    </row>
    <row r="7" spans="1:5" ht="12.75" customHeight="1">
      <c r="A7" s="4" t="s">
        <v>621</v>
      </c>
      <c r="B7" s="4" t="s">
        <v>347</v>
      </c>
      <c r="C7" s="5" t="s">
        <v>48</v>
      </c>
      <c r="D7" s="4" t="s">
        <v>62</v>
      </c>
      <c r="E7" s="4" t="s">
        <v>441</v>
      </c>
    </row>
    <row r="8" spans="1:5" ht="12.75" customHeight="1">
      <c r="A8" s="4" t="s">
        <v>434</v>
      </c>
      <c r="B8" s="4" t="s">
        <v>172</v>
      </c>
      <c r="C8" s="5" t="s">
        <v>303</v>
      </c>
      <c r="D8" s="4" t="s">
        <v>62</v>
      </c>
      <c r="E8" s="4" t="s">
        <v>441</v>
      </c>
    </row>
    <row r="9" spans="1:5" ht="12.75" customHeight="1">
      <c r="A9" s="4" t="s">
        <v>536</v>
      </c>
      <c r="B9" s="4" t="s">
        <v>632</v>
      </c>
      <c r="C9" s="5" t="s">
        <v>531</v>
      </c>
      <c r="D9" s="4" t="s">
        <v>63</v>
      </c>
      <c r="E9" s="4" t="s">
        <v>441</v>
      </c>
    </row>
    <row r="10" spans="1:5" ht="12.75" customHeight="1">
      <c r="A10" s="4" t="s">
        <v>590</v>
      </c>
      <c r="B10" s="4" t="s">
        <v>390</v>
      </c>
      <c r="C10" s="5" t="s">
        <v>348</v>
      </c>
      <c r="D10" s="4" t="s">
        <v>63</v>
      </c>
      <c r="E10" s="4" t="s">
        <v>441</v>
      </c>
    </row>
    <row r="11" spans="1:5" ht="12.75" customHeight="1">
      <c r="A11" s="4" t="s">
        <v>301</v>
      </c>
      <c r="B11" s="4" t="s">
        <v>645</v>
      </c>
      <c r="C11" s="5" t="s">
        <v>356</v>
      </c>
      <c r="D11" s="4" t="s">
        <v>66</v>
      </c>
      <c r="E11" s="4" t="s">
        <v>441</v>
      </c>
    </row>
    <row r="12" spans="1:5" ht="12.75" customHeight="1">
      <c r="A12" s="4" t="s">
        <v>577</v>
      </c>
      <c r="B12" s="4" t="s">
        <v>498</v>
      </c>
      <c r="C12" s="5" t="s">
        <v>560</v>
      </c>
      <c r="D12" s="4" t="s">
        <v>66</v>
      </c>
      <c r="E12" s="4" t="s">
        <v>441</v>
      </c>
    </row>
    <row r="13" spans="1:5" ht="12.75" customHeight="1">
      <c r="A13" s="4" t="s">
        <v>229</v>
      </c>
      <c r="B13" s="4" t="s">
        <v>484</v>
      </c>
      <c r="C13" s="5" t="s">
        <v>1</v>
      </c>
      <c r="D13" s="4" t="s">
        <v>66</v>
      </c>
      <c r="E13" s="4" t="s">
        <v>441</v>
      </c>
    </row>
    <row r="14" spans="1:5" ht="12.75" customHeight="1">
      <c r="A14" s="4" t="s">
        <v>247</v>
      </c>
      <c r="B14" s="4" t="s">
        <v>43</v>
      </c>
      <c r="C14" s="5" t="s">
        <v>602</v>
      </c>
      <c r="D14" s="4" t="s">
        <v>66</v>
      </c>
      <c r="E14" s="4" t="s">
        <v>441</v>
      </c>
    </row>
    <row r="15" spans="1:5" ht="12.75" customHeight="1">
      <c r="A15" s="4" t="s">
        <v>505</v>
      </c>
      <c r="B15" s="4" t="s">
        <v>404</v>
      </c>
      <c r="C15" s="5" t="s">
        <v>291</v>
      </c>
      <c r="D15" s="4" t="s">
        <v>66</v>
      </c>
      <c r="E15" s="4" t="s">
        <v>441</v>
      </c>
    </row>
    <row r="16" spans="1:5" ht="12.75" customHeight="1">
      <c r="A16" s="4" t="s">
        <v>28</v>
      </c>
      <c r="B16" s="4" t="s">
        <v>199</v>
      </c>
      <c r="C16" s="5" t="s">
        <v>533</v>
      </c>
      <c r="D16" s="4" t="s">
        <v>66</v>
      </c>
      <c r="E16" s="4" t="s">
        <v>441</v>
      </c>
    </row>
    <row r="17" spans="1:5" ht="12.75" customHeight="1">
      <c r="A17" s="4" t="s">
        <v>436</v>
      </c>
      <c r="B17" s="4" t="s">
        <v>43</v>
      </c>
      <c r="C17" s="5" t="s">
        <v>361</v>
      </c>
      <c r="D17" s="4" t="s">
        <v>52</v>
      </c>
      <c r="E17" s="4" t="s">
        <v>441</v>
      </c>
    </row>
    <row r="18" spans="1:5" ht="12.75" customHeight="1">
      <c r="A18" s="4" t="s">
        <v>368</v>
      </c>
      <c r="B18" s="4" t="s">
        <v>182</v>
      </c>
      <c r="C18" s="5" t="s">
        <v>569</v>
      </c>
      <c r="D18" s="4" t="s">
        <v>52</v>
      </c>
      <c r="E18" s="4" t="s">
        <v>441</v>
      </c>
    </row>
    <row r="19" spans="1:5" ht="12.75" customHeight="1">
      <c r="A19" s="4" t="s">
        <v>98</v>
      </c>
      <c r="B19" s="4" t="s">
        <v>478</v>
      </c>
      <c r="C19" s="5" t="s">
        <v>290</v>
      </c>
      <c r="D19" s="4" t="s">
        <v>52</v>
      </c>
      <c r="E19" s="4" t="s">
        <v>441</v>
      </c>
    </row>
    <row r="20" spans="1:5" ht="12.75" customHeight="1">
      <c r="A20" s="4" t="s">
        <v>391</v>
      </c>
      <c r="B20" s="4" t="s">
        <v>199</v>
      </c>
      <c r="C20" s="5" t="s">
        <v>392</v>
      </c>
      <c r="D20" s="4" t="s">
        <v>52</v>
      </c>
      <c r="E20" s="4" t="s">
        <v>532</v>
      </c>
    </row>
    <row r="21" spans="1:5" ht="12.75" customHeight="1">
      <c r="A21" s="4" t="s">
        <v>471</v>
      </c>
      <c r="B21" s="4" t="s">
        <v>459</v>
      </c>
      <c r="C21" s="5">
        <v>9780679849773</v>
      </c>
      <c r="D21" s="4" t="s">
        <v>54</v>
      </c>
      <c r="E21" s="4" t="s">
        <v>666</v>
      </c>
    </row>
    <row r="22" spans="1:5" ht="12.75" customHeight="1">
      <c r="A22" s="4" t="s">
        <v>442</v>
      </c>
      <c r="B22" s="4" t="s">
        <v>27</v>
      </c>
      <c r="C22" s="5">
        <v>9780590265850</v>
      </c>
      <c r="D22" s="4" t="s">
        <v>54</v>
      </c>
      <c r="E22" s="4" t="s">
        <v>666</v>
      </c>
    </row>
    <row r="23" spans="1:5" ht="12.75" customHeight="1">
      <c r="A23" s="4" t="s">
        <v>674</v>
      </c>
      <c r="B23" s="4" t="s">
        <v>152</v>
      </c>
      <c r="C23" s="5">
        <v>9780756658809</v>
      </c>
      <c r="D23" s="4" t="s">
        <v>54</v>
      </c>
      <c r="E23" s="4" t="s">
        <v>666</v>
      </c>
    </row>
    <row r="24" spans="1:5" ht="12.75" customHeight="1">
      <c r="A24" s="4" t="s">
        <v>231</v>
      </c>
      <c r="B24" s="4" t="s">
        <v>550</v>
      </c>
      <c r="C24" s="5">
        <v>9780142403624</v>
      </c>
      <c r="D24" s="4" t="s">
        <v>54</v>
      </c>
      <c r="E24" s="2" t="s">
        <v>34</v>
      </c>
    </row>
    <row r="25" spans="1:5" ht="12.75" customHeight="1">
      <c r="A25" s="4" t="s">
        <v>294</v>
      </c>
      <c r="B25" s="4" t="s">
        <v>161</v>
      </c>
      <c r="C25" s="5">
        <v>9781597169592</v>
      </c>
      <c r="D25" s="4" t="s">
        <v>364</v>
      </c>
      <c r="E25" s="2" t="s">
        <v>34</v>
      </c>
    </row>
    <row r="26" spans="1:5" ht="12.75" customHeight="1">
      <c r="A26" s="4" t="s">
        <v>495</v>
      </c>
      <c r="B26" s="4" t="s">
        <v>525</v>
      </c>
      <c r="C26" s="5">
        <v>9781575057477</v>
      </c>
      <c r="D26" s="4" t="s">
        <v>54</v>
      </c>
      <c r="E26" s="4" t="s">
        <v>441</v>
      </c>
    </row>
    <row r="27" spans="1:5" ht="12.75" customHeight="1">
      <c r="A27" s="4" t="s">
        <v>622</v>
      </c>
      <c r="B27" s="4" t="s">
        <v>161</v>
      </c>
      <c r="C27" s="5">
        <v>9781597169561</v>
      </c>
      <c r="D27" s="4" t="s">
        <v>364</v>
      </c>
      <c r="E27" s="2" t="s">
        <v>34</v>
      </c>
    </row>
    <row r="28" spans="1:5" ht="12.75" customHeight="1">
      <c r="A28" s="4" t="s">
        <v>210</v>
      </c>
      <c r="B28" s="4" t="s">
        <v>161</v>
      </c>
      <c r="C28" s="5">
        <v>9781597169554</v>
      </c>
      <c r="D28" s="4" t="s">
        <v>364</v>
      </c>
      <c r="E28" s="2" t="s">
        <v>34</v>
      </c>
    </row>
    <row r="29" spans="1:5" ht="12.75" customHeight="1">
      <c r="A29" s="4" t="s">
        <v>640</v>
      </c>
      <c r="B29" s="4" t="s">
        <v>161</v>
      </c>
      <c r="C29" s="5">
        <v>9781597169578</v>
      </c>
      <c r="D29" s="4" t="s">
        <v>364</v>
      </c>
      <c r="E29" s="2" t="s">
        <v>34</v>
      </c>
    </row>
    <row r="30" spans="1:5" ht="12.75" customHeight="1">
      <c r="A30" s="4" t="s">
        <v>100</v>
      </c>
      <c r="B30" s="4" t="s">
        <v>420</v>
      </c>
      <c r="C30" s="5" t="s">
        <v>346</v>
      </c>
      <c r="D30" s="4" t="s">
        <v>56</v>
      </c>
      <c r="E30" s="4" t="s">
        <v>666</v>
      </c>
    </row>
    <row r="31" spans="1:5" ht="12.75" customHeight="1">
      <c r="A31" s="4" t="s">
        <v>22</v>
      </c>
      <c r="B31" s="4" t="s">
        <v>310</v>
      </c>
      <c r="C31" s="5" t="s">
        <v>648</v>
      </c>
      <c r="D31" s="4" t="s">
        <v>56</v>
      </c>
      <c r="E31" s="4" t="s">
        <v>666</v>
      </c>
    </row>
    <row r="32" spans="1:5" ht="12.75" customHeight="1">
      <c r="A32" s="4" t="s">
        <v>524</v>
      </c>
      <c r="B32" s="4" t="s">
        <v>200</v>
      </c>
      <c r="C32" s="5" t="s">
        <v>541</v>
      </c>
      <c r="D32" s="4" t="s">
        <v>56</v>
      </c>
      <c r="E32" s="4" t="s">
        <v>441</v>
      </c>
    </row>
    <row r="33" spans="1:5" ht="12.75" customHeight="1">
      <c r="A33" s="4" t="s">
        <v>445</v>
      </c>
      <c r="B33" s="4" t="s">
        <v>269</v>
      </c>
      <c r="C33" s="5" t="s">
        <v>626</v>
      </c>
      <c r="D33" s="4" t="s">
        <v>56</v>
      </c>
      <c r="E33" s="4" t="s">
        <v>441</v>
      </c>
    </row>
    <row r="34" spans="1:5" ht="12.75" customHeight="1">
      <c r="A34" s="4" t="s">
        <v>127</v>
      </c>
      <c r="B34" s="4" t="s">
        <v>118</v>
      </c>
      <c r="C34" s="5" t="s">
        <v>316</v>
      </c>
      <c r="D34" s="4" t="s">
        <v>56</v>
      </c>
      <c r="E34" s="4" t="s">
        <v>441</v>
      </c>
    </row>
    <row r="35" spans="1:5" ht="12.75" customHeight="1">
      <c r="A35" s="4" t="s">
        <v>32</v>
      </c>
      <c r="B35" s="4" t="s">
        <v>118</v>
      </c>
      <c r="C35" s="5" t="s">
        <v>367</v>
      </c>
      <c r="D35" s="4" t="s">
        <v>56</v>
      </c>
      <c r="E35" s="4" t="s">
        <v>441</v>
      </c>
    </row>
    <row r="36" spans="1:5" ht="12.75" customHeight="1">
      <c r="A36" s="4" t="s">
        <v>37</v>
      </c>
      <c r="B36" s="4" t="s">
        <v>164</v>
      </c>
      <c r="C36" s="5" t="s">
        <v>379</v>
      </c>
      <c r="D36" s="4" t="s">
        <v>56</v>
      </c>
      <c r="E36" s="4" t="s">
        <v>441</v>
      </c>
    </row>
    <row r="37" spans="1:5" ht="12.75" customHeight="1">
      <c r="A37" s="4" t="s">
        <v>178</v>
      </c>
      <c r="B37" s="4" t="s">
        <v>525</v>
      </c>
      <c r="C37" s="5" t="s">
        <v>589</v>
      </c>
      <c r="D37" s="4" t="s">
        <v>57</v>
      </c>
      <c r="E37" s="4" t="s">
        <v>666</v>
      </c>
    </row>
    <row r="38" spans="1:5" ht="12.75" customHeight="1">
      <c r="A38" s="4" t="s">
        <v>349</v>
      </c>
      <c r="B38" s="4" t="s">
        <v>485</v>
      </c>
      <c r="C38" s="5" t="s">
        <v>293</v>
      </c>
      <c r="D38" s="4" t="s">
        <v>57</v>
      </c>
      <c r="E38" s="4" t="s">
        <v>666</v>
      </c>
    </row>
    <row r="39" spans="1:5" ht="12.75" customHeight="1">
      <c r="A39" s="4" t="s">
        <v>188</v>
      </c>
      <c r="B39" s="4" t="s">
        <v>455</v>
      </c>
      <c r="C39" s="5" t="s">
        <v>136</v>
      </c>
      <c r="D39" s="4" t="s">
        <v>57</v>
      </c>
      <c r="E39" s="4" t="s">
        <v>666</v>
      </c>
    </row>
    <row r="40" spans="1:5" ht="12.75" customHeight="1">
      <c r="A40" s="4" t="s">
        <v>197</v>
      </c>
      <c r="B40" s="4" t="s">
        <v>363</v>
      </c>
      <c r="C40" s="5" t="s">
        <v>36</v>
      </c>
      <c r="D40" s="4" t="s">
        <v>57</v>
      </c>
      <c r="E40" s="4" t="s">
        <v>441</v>
      </c>
    </row>
    <row r="41" spans="1:5" ht="12.75" customHeight="1">
      <c r="A41" s="4" t="s">
        <v>264</v>
      </c>
      <c r="B41" s="4" t="s">
        <v>340</v>
      </c>
      <c r="C41" s="5" t="s">
        <v>311</v>
      </c>
      <c r="D41" s="4" t="s">
        <v>57</v>
      </c>
      <c r="E41" s="4" t="s">
        <v>441</v>
      </c>
    </row>
    <row r="42" spans="1:5" ht="12.75" customHeight="1">
      <c r="A42" s="4" t="s">
        <v>95</v>
      </c>
      <c r="B42" s="4" t="s">
        <v>616</v>
      </c>
      <c r="C42" s="5" t="s">
        <v>76</v>
      </c>
      <c r="D42" s="4" t="s">
        <v>57</v>
      </c>
      <c r="E42" s="4" t="s">
        <v>441</v>
      </c>
    </row>
    <row r="43" spans="1:4" ht="12.75" customHeight="1">
      <c r="A43" s="4" t="s">
        <v>426</v>
      </c>
      <c r="B43" s="4" t="s">
        <v>525</v>
      </c>
      <c r="C43" s="5" t="s">
        <v>110</v>
      </c>
      <c r="D43" s="4" t="s">
        <v>83</v>
      </c>
    </row>
    <row r="44" spans="1:5" ht="12.75" customHeight="1">
      <c r="A44" s="4" t="s">
        <v>424</v>
      </c>
      <c r="B44" s="4" t="s">
        <v>363</v>
      </c>
      <c r="C44" s="5" t="s">
        <v>651</v>
      </c>
      <c r="D44" s="4" t="s">
        <v>83</v>
      </c>
      <c r="E44" s="4" t="s">
        <v>532</v>
      </c>
    </row>
    <row r="45" spans="1:5" ht="12.75" customHeight="1">
      <c r="A45" s="4" t="s">
        <v>457</v>
      </c>
      <c r="B45" s="4" t="s">
        <v>140</v>
      </c>
      <c r="C45" s="5" t="s">
        <v>12</v>
      </c>
      <c r="D45" s="4" t="s">
        <v>81</v>
      </c>
      <c r="E45" s="4" t="s">
        <v>666</v>
      </c>
    </row>
    <row r="46" spans="1:5" ht="12.75" customHeight="1">
      <c r="A46" s="4" t="s">
        <v>516</v>
      </c>
      <c r="B46" s="4" t="s">
        <v>387</v>
      </c>
      <c r="C46" s="5">
        <v>9780590426169</v>
      </c>
      <c r="D46" s="4" t="s">
        <v>81</v>
      </c>
      <c r="E46" s="4" t="s">
        <v>666</v>
      </c>
    </row>
    <row r="47" spans="1:5" ht="12.75" customHeight="1">
      <c r="A47" s="4" t="s">
        <v>133</v>
      </c>
      <c r="B47" s="4" t="s">
        <v>664</v>
      </c>
      <c r="C47" s="5" t="s">
        <v>458</v>
      </c>
      <c r="D47" s="4" t="s">
        <v>81</v>
      </c>
      <c r="E47" s="4" t="s">
        <v>441</v>
      </c>
    </row>
    <row r="48" spans="1:5" ht="12.75" customHeight="1">
      <c r="A48" s="4" t="s">
        <v>662</v>
      </c>
      <c r="B48" s="4" t="s">
        <v>193</v>
      </c>
      <c r="C48" s="5" t="s">
        <v>416</v>
      </c>
      <c r="D48" s="4" t="s">
        <v>81</v>
      </c>
      <c r="E48" s="4" t="s">
        <v>441</v>
      </c>
    </row>
    <row r="49" spans="1:5" ht="12.75" customHeight="1">
      <c r="A49" s="4" t="s">
        <v>551</v>
      </c>
      <c r="B49" s="4" t="s">
        <v>679</v>
      </c>
      <c r="C49" s="5" t="s">
        <v>618</v>
      </c>
      <c r="D49" s="4" t="s">
        <v>81</v>
      </c>
      <c r="E49" s="4" t="s">
        <v>441</v>
      </c>
    </row>
    <row r="50" spans="1:5" ht="12.75" customHeight="1">
      <c r="A50" s="4" t="s">
        <v>300</v>
      </c>
      <c r="B50" s="4" t="s">
        <v>680</v>
      </c>
      <c r="C50" s="5" t="s">
        <v>378</v>
      </c>
      <c r="D50" s="4" t="s">
        <v>86</v>
      </c>
      <c r="E50" s="4" t="s">
        <v>666</v>
      </c>
    </row>
    <row r="51" spans="1:5" ht="12.75" customHeight="1">
      <c r="A51" s="4" t="s">
        <v>546</v>
      </c>
      <c r="B51" s="4" t="s">
        <v>511</v>
      </c>
      <c r="C51" s="5" t="s">
        <v>343</v>
      </c>
      <c r="D51" s="4" t="s">
        <v>86</v>
      </c>
      <c r="E51" s="4" t="s">
        <v>666</v>
      </c>
    </row>
    <row r="52" spans="1:5" ht="12.75" customHeight="1">
      <c r="A52" s="4" t="s">
        <v>266</v>
      </c>
      <c r="B52" s="4" t="s">
        <v>487</v>
      </c>
      <c r="C52" s="5" t="s">
        <v>26</v>
      </c>
      <c r="D52" s="4" t="s">
        <v>86</v>
      </c>
      <c r="E52" s="4" t="s">
        <v>666</v>
      </c>
    </row>
    <row r="53" spans="1:5" ht="12.75" customHeight="1">
      <c r="A53" s="4" t="s">
        <v>446</v>
      </c>
      <c r="B53" s="4" t="s">
        <v>525</v>
      </c>
      <c r="C53" s="5" t="s">
        <v>359</v>
      </c>
      <c r="D53" s="4" t="s">
        <v>86</v>
      </c>
      <c r="E53" s="4" t="s">
        <v>532</v>
      </c>
    </row>
    <row r="54" spans="1:5" ht="12.75" customHeight="1">
      <c r="A54" s="4" t="s">
        <v>634</v>
      </c>
      <c r="B54" s="4" t="s">
        <v>525</v>
      </c>
      <c r="C54" s="5" t="s">
        <v>313</v>
      </c>
      <c r="D54" s="4" t="s">
        <v>86</v>
      </c>
      <c r="E54" s="4" t="s">
        <v>441</v>
      </c>
    </row>
    <row r="55" spans="1:5" ht="12.75" customHeight="1">
      <c r="A55" s="4" t="s">
        <v>668</v>
      </c>
      <c r="B55" s="4" t="s">
        <v>525</v>
      </c>
      <c r="C55" s="5" t="s">
        <v>278</v>
      </c>
      <c r="D55" s="4" t="s">
        <v>86</v>
      </c>
      <c r="E55" s="4" t="s">
        <v>441</v>
      </c>
    </row>
    <row r="56" spans="1:5" ht="12.75" customHeight="1">
      <c r="A56" s="4" t="s">
        <v>425</v>
      </c>
      <c r="B56" s="4" t="s">
        <v>525</v>
      </c>
      <c r="C56" s="5" t="s">
        <v>268</v>
      </c>
      <c r="D56" s="4" t="s">
        <v>86</v>
      </c>
      <c r="E56" s="4" t="s">
        <v>441</v>
      </c>
    </row>
    <row r="57" spans="1:5" ht="12.75" customHeight="1">
      <c r="A57" s="4" t="s">
        <v>381</v>
      </c>
      <c r="B57" s="4" t="s">
        <v>525</v>
      </c>
      <c r="C57" s="5" t="s">
        <v>227</v>
      </c>
      <c r="D57" s="4" t="s">
        <v>86</v>
      </c>
      <c r="E57" s="4" t="s">
        <v>441</v>
      </c>
    </row>
    <row r="58" spans="1:5" ht="12.75" customHeight="1">
      <c r="A58" s="4" t="s">
        <v>135</v>
      </c>
      <c r="B58" s="4" t="s">
        <v>567</v>
      </c>
      <c r="C58" s="5" t="s">
        <v>80</v>
      </c>
      <c r="D58" s="4" t="s">
        <v>84</v>
      </c>
      <c r="E58" s="4" t="s">
        <v>441</v>
      </c>
    </row>
    <row r="59" spans="1:5" ht="12.75" customHeight="1">
      <c r="A59" s="4" t="s">
        <v>647</v>
      </c>
      <c r="B59" s="4" t="s">
        <v>525</v>
      </c>
      <c r="C59" s="5" t="s">
        <v>297</v>
      </c>
      <c r="D59" s="4" t="s">
        <v>84</v>
      </c>
      <c r="E59" s="4" t="s">
        <v>441</v>
      </c>
    </row>
    <row r="60" spans="1:5" ht="12.75" customHeight="1">
      <c r="A60" s="4" t="s">
        <v>429</v>
      </c>
      <c r="B60" s="4" t="s">
        <v>664</v>
      </c>
      <c r="C60" s="5" t="s">
        <v>106</v>
      </c>
      <c r="D60" s="4" t="s">
        <v>72</v>
      </c>
      <c r="E60" s="4" t="s">
        <v>666</v>
      </c>
    </row>
    <row r="61" spans="1:5" ht="12.75" customHeight="1">
      <c r="A61" s="4" t="s">
        <v>570</v>
      </c>
      <c r="B61" s="4" t="s">
        <v>171</v>
      </c>
      <c r="C61" s="5" t="s">
        <v>271</v>
      </c>
      <c r="D61" s="4" t="s">
        <v>72</v>
      </c>
      <c r="E61" s="4" t="s">
        <v>666</v>
      </c>
    </row>
    <row r="62" spans="1:5" ht="12.75" customHeight="1">
      <c r="A62" s="4" t="s">
        <v>123</v>
      </c>
      <c r="B62" s="4" t="s">
        <v>655</v>
      </c>
      <c r="C62" s="5" t="s">
        <v>235</v>
      </c>
      <c r="D62" s="4" t="s">
        <v>72</v>
      </c>
      <c r="E62" s="4" t="s">
        <v>666</v>
      </c>
    </row>
    <row r="63" spans="1:5" ht="12.75" customHeight="1">
      <c r="A63" s="4" t="s">
        <v>354</v>
      </c>
      <c r="B63" s="4" t="s">
        <v>486</v>
      </c>
      <c r="C63" s="5" t="s">
        <v>448</v>
      </c>
      <c r="D63" s="4" t="s">
        <v>72</v>
      </c>
      <c r="E63" s="4" t="s">
        <v>666</v>
      </c>
    </row>
    <row r="64" spans="1:5" ht="12.75" customHeight="1">
      <c r="A64" s="4" t="s">
        <v>440</v>
      </c>
      <c r="B64" s="4" t="s">
        <v>15</v>
      </c>
      <c r="C64" s="5" t="s">
        <v>336</v>
      </c>
      <c r="D64" s="4" t="s">
        <v>72</v>
      </c>
      <c r="E64" s="4" t="s">
        <v>441</v>
      </c>
    </row>
    <row r="65" spans="1:5" ht="12.75" customHeight="1">
      <c r="A65" s="4" t="s">
        <v>537</v>
      </c>
      <c r="B65" s="4" t="s">
        <v>85</v>
      </c>
      <c r="C65" s="5" t="s">
        <v>275</v>
      </c>
      <c r="D65" s="4" t="s">
        <v>72</v>
      </c>
      <c r="E65" s="4" t="s">
        <v>441</v>
      </c>
    </row>
    <row r="66" spans="1:5" ht="12.75" customHeight="1">
      <c r="A66" s="4" t="s">
        <v>158</v>
      </c>
      <c r="B66" s="4" t="s">
        <v>514</v>
      </c>
      <c r="C66" s="5" t="s">
        <v>548</v>
      </c>
      <c r="D66" s="4" t="s">
        <v>69</v>
      </c>
      <c r="E66" s="4" t="s">
        <v>666</v>
      </c>
    </row>
    <row r="67" spans="1:5" ht="12.75" customHeight="1">
      <c r="A67" s="4" t="s">
        <v>126</v>
      </c>
      <c r="B67" s="4" t="s">
        <v>193</v>
      </c>
      <c r="C67" s="5" t="s">
        <v>263</v>
      </c>
      <c r="D67" s="4" t="s">
        <v>69</v>
      </c>
      <c r="E67" s="4" t="s">
        <v>441</v>
      </c>
    </row>
    <row r="68" spans="1:5" ht="12.75" customHeight="1">
      <c r="A68" s="4" t="s">
        <v>549</v>
      </c>
      <c r="B68" s="4" t="s">
        <v>193</v>
      </c>
      <c r="C68" s="5" t="s">
        <v>522</v>
      </c>
      <c r="D68" s="4" t="s">
        <v>69</v>
      </c>
      <c r="E68" s="4" t="s">
        <v>441</v>
      </c>
    </row>
    <row r="69" spans="1:5" ht="12.75" customHeight="1">
      <c r="A69" s="4" t="s">
        <v>333</v>
      </c>
      <c r="B69" s="4" t="s">
        <v>599</v>
      </c>
      <c r="C69" s="5" t="s">
        <v>547</v>
      </c>
      <c r="D69" s="4" t="s">
        <v>77</v>
      </c>
      <c r="E69" s="4" t="s">
        <v>666</v>
      </c>
    </row>
    <row r="70" spans="1:5" ht="12.75" customHeight="1">
      <c r="A70" s="4" t="s">
        <v>465</v>
      </c>
      <c r="B70" s="4" t="s">
        <v>527</v>
      </c>
      <c r="C70" s="5" t="s">
        <v>373</v>
      </c>
      <c r="D70" s="4" t="s">
        <v>77</v>
      </c>
      <c r="E70" s="4" t="s">
        <v>666</v>
      </c>
    </row>
    <row r="71" spans="1:5" ht="12.75" customHeight="1">
      <c r="A71" s="4" t="s">
        <v>307</v>
      </c>
      <c r="B71" s="4" t="s">
        <v>148</v>
      </c>
      <c r="C71" s="5" t="s">
        <v>643</v>
      </c>
      <c r="D71" s="4" t="s">
        <v>77</v>
      </c>
      <c r="E71" s="4" t="s">
        <v>441</v>
      </c>
    </row>
    <row r="72" spans="1:5" ht="12.75" customHeight="1">
      <c r="A72" s="4" t="s">
        <v>114</v>
      </c>
      <c r="B72" s="4" t="s">
        <v>393</v>
      </c>
      <c r="C72" s="5">
        <v>9780547133638</v>
      </c>
      <c r="D72" s="4" t="s">
        <v>77</v>
      </c>
      <c r="E72" s="4" t="s">
        <v>441</v>
      </c>
    </row>
    <row r="73" spans="1:5" ht="12.75" customHeight="1">
      <c r="A73" s="4" t="s">
        <v>671</v>
      </c>
      <c r="B73" s="4" t="s">
        <v>610</v>
      </c>
      <c r="C73" s="5" t="s">
        <v>591</v>
      </c>
      <c r="D73" s="4" t="s">
        <v>74</v>
      </c>
      <c r="E73" s="4" t="s">
        <v>666</v>
      </c>
    </row>
    <row r="74" spans="1:5" ht="12.75" customHeight="1">
      <c r="A74" s="4" t="s">
        <v>606</v>
      </c>
      <c r="B74" s="4" t="s">
        <v>148</v>
      </c>
      <c r="C74" s="5" t="s">
        <v>491</v>
      </c>
      <c r="D74" s="4" t="s">
        <v>74</v>
      </c>
      <c r="E74" s="4" t="s">
        <v>666</v>
      </c>
    </row>
    <row r="75" spans="1:5" ht="12.75" customHeight="1">
      <c r="A75" s="4" t="s">
        <v>117</v>
      </c>
      <c r="B75" s="4" t="s">
        <v>664</v>
      </c>
      <c r="C75" s="5" t="s">
        <v>631</v>
      </c>
      <c r="D75" s="4" t="s">
        <v>91</v>
      </c>
      <c r="E75" s="4" t="s">
        <v>666</v>
      </c>
    </row>
    <row r="76" spans="1:5" ht="12.75" customHeight="1">
      <c r="A76" s="4" t="s">
        <v>383</v>
      </c>
      <c r="B76" s="4" t="s">
        <v>664</v>
      </c>
      <c r="C76" s="5" t="s">
        <v>24</v>
      </c>
      <c r="D76" s="4" t="s">
        <v>91</v>
      </c>
      <c r="E76" s="4" t="s">
        <v>666</v>
      </c>
    </row>
    <row r="77" spans="1:5" ht="12.75" customHeight="1">
      <c r="A77" s="4" t="s">
        <v>526</v>
      </c>
      <c r="B77" s="4" t="s">
        <v>664</v>
      </c>
      <c r="C77" s="5" t="s">
        <v>60</v>
      </c>
      <c r="D77" s="4" t="s">
        <v>91</v>
      </c>
      <c r="E77" s="4" t="s">
        <v>666</v>
      </c>
    </row>
    <row r="78" spans="1:5" ht="12.75" customHeight="1">
      <c r="A78" s="4" t="s">
        <v>122</v>
      </c>
      <c r="B78" s="4" t="s">
        <v>543</v>
      </c>
      <c r="C78" s="5" t="s">
        <v>11</v>
      </c>
      <c r="D78" s="4" t="s">
        <v>91</v>
      </c>
      <c r="E78" s="4" t="s">
        <v>666</v>
      </c>
    </row>
    <row r="79" spans="1:5" ht="12.75" customHeight="1">
      <c r="A79" s="4" t="s">
        <v>130</v>
      </c>
      <c r="B79" s="4" t="s">
        <v>664</v>
      </c>
      <c r="C79" s="5" t="s">
        <v>353</v>
      </c>
      <c r="D79" s="4" t="s">
        <v>91</v>
      </c>
      <c r="E79" s="4" t="s">
        <v>441</v>
      </c>
    </row>
    <row r="80" spans="1:5" ht="12.75" customHeight="1">
      <c r="A80" s="4" t="s">
        <v>398</v>
      </c>
      <c r="B80" s="4" t="s">
        <v>360</v>
      </c>
      <c r="C80" s="5" t="s">
        <v>128</v>
      </c>
      <c r="D80" s="4" t="s">
        <v>91</v>
      </c>
      <c r="E80" s="4" t="s">
        <v>441</v>
      </c>
    </row>
    <row r="81" spans="1:5" ht="12.75" customHeight="1">
      <c r="A81" s="4" t="s">
        <v>168</v>
      </c>
      <c r="B81" s="4" t="s">
        <v>412</v>
      </c>
      <c r="C81" s="5" t="s">
        <v>523</v>
      </c>
      <c r="D81" s="4" t="s">
        <v>91</v>
      </c>
      <c r="E81" s="4" t="s">
        <v>441</v>
      </c>
    </row>
    <row r="82" spans="1:5" ht="12.75" customHeight="1">
      <c r="A82" s="4" t="s">
        <v>322</v>
      </c>
      <c r="B82" s="4" t="s">
        <v>298</v>
      </c>
      <c r="C82" s="5" t="s">
        <v>42</v>
      </c>
      <c r="D82" s="4" t="s">
        <v>91</v>
      </c>
      <c r="E82" s="4" t="s">
        <v>441</v>
      </c>
    </row>
    <row r="83" spans="1:5" ht="12.75" customHeight="1">
      <c r="A83" s="4" t="s">
        <v>87</v>
      </c>
      <c r="B83" s="4" t="s">
        <v>248</v>
      </c>
      <c r="C83" s="5" t="s">
        <v>238</v>
      </c>
      <c r="D83" s="4" t="s">
        <v>90</v>
      </c>
      <c r="E83" s="4" t="s">
        <v>666</v>
      </c>
    </row>
    <row r="84" spans="1:5" ht="12.75" customHeight="1">
      <c r="A84" s="4" t="s">
        <v>190</v>
      </c>
      <c r="B84" s="4" t="s">
        <v>543</v>
      </c>
      <c r="C84" s="5" t="s">
        <v>207</v>
      </c>
      <c r="D84" s="4" t="s">
        <v>90</v>
      </c>
      <c r="E84" s="4" t="s">
        <v>441</v>
      </c>
    </row>
    <row r="85" spans="1:5" ht="12.75" customHeight="1">
      <c r="A85" s="4" t="s">
        <v>103</v>
      </c>
      <c r="B85" s="4" t="s">
        <v>148</v>
      </c>
      <c r="C85" s="5" t="s">
        <v>232</v>
      </c>
      <c r="D85" s="4" t="s">
        <v>90</v>
      </c>
      <c r="E85" s="4" t="s">
        <v>441</v>
      </c>
    </row>
    <row r="86" spans="1:5" ht="12.75" customHeight="1">
      <c r="A86" s="4" t="s">
        <v>89</v>
      </c>
      <c r="B86" s="4" t="s">
        <v>422</v>
      </c>
      <c r="C86" s="5" t="s">
        <v>160</v>
      </c>
      <c r="D86" s="4" t="s">
        <v>90</v>
      </c>
      <c r="E86" s="4" t="s">
        <v>441</v>
      </c>
    </row>
    <row r="87" spans="1:5" ht="12.75" customHeight="1">
      <c r="A87" s="4" t="s">
        <v>64</v>
      </c>
      <c r="B87" s="4" t="s">
        <v>397</v>
      </c>
      <c r="C87" s="5" t="s">
        <v>165</v>
      </c>
      <c r="D87" s="4" t="s">
        <v>90</v>
      </c>
      <c r="E87" s="4" t="s">
        <v>441</v>
      </c>
    </row>
    <row r="88" spans="1:5" ht="12.75" customHeight="1">
      <c r="A88" s="4" t="s">
        <v>107</v>
      </c>
      <c r="B88" s="4" t="s">
        <v>543</v>
      </c>
      <c r="C88" s="5" t="s">
        <v>568</v>
      </c>
      <c r="D88" s="4" t="s">
        <v>90</v>
      </c>
      <c r="E88" s="4" t="s">
        <v>441</v>
      </c>
    </row>
    <row r="89" spans="1:5" ht="12.75" customHeight="1">
      <c r="A89" s="4" t="s">
        <v>583</v>
      </c>
      <c r="B89" s="4" t="s">
        <v>542</v>
      </c>
      <c r="C89" s="5" t="s">
        <v>166</v>
      </c>
      <c r="D89" s="4" t="s">
        <v>90</v>
      </c>
      <c r="E89" s="4" t="s">
        <v>441</v>
      </c>
    </row>
    <row r="90" spans="1:5" ht="12.75" customHeight="1">
      <c r="A90" s="4" t="s">
        <v>657</v>
      </c>
      <c r="B90" s="4" t="s">
        <v>365</v>
      </c>
      <c r="C90" s="5" t="s">
        <v>309</v>
      </c>
      <c r="D90" s="4" t="s">
        <v>90</v>
      </c>
      <c r="E90" s="4" t="s">
        <v>441</v>
      </c>
    </row>
    <row r="91" spans="1:5" ht="12.75" customHeight="1">
      <c r="A91" s="4" t="s">
        <v>276</v>
      </c>
      <c r="B91" s="4" t="s">
        <v>243</v>
      </c>
      <c r="C91" s="5" t="s">
        <v>70</v>
      </c>
      <c r="D91" s="4" t="s">
        <v>90</v>
      </c>
      <c r="E91" s="4" t="s">
        <v>441</v>
      </c>
    </row>
    <row r="92" spans="1:5" ht="12.75" customHeight="1">
      <c r="A92" s="4" t="s">
        <v>369</v>
      </c>
      <c r="B92" s="4" t="s">
        <v>269</v>
      </c>
      <c r="C92" s="5" t="s">
        <v>191</v>
      </c>
      <c r="D92" s="4" t="s">
        <v>90</v>
      </c>
      <c r="E92" s="4" t="s">
        <v>441</v>
      </c>
    </row>
    <row r="93" spans="1:5" ht="12.75" customHeight="1">
      <c r="A93" s="4" t="s">
        <v>4</v>
      </c>
      <c r="B93" s="4" t="s">
        <v>539</v>
      </c>
      <c r="C93" s="5" t="s">
        <v>444</v>
      </c>
      <c r="D93" s="4" t="s">
        <v>93</v>
      </c>
      <c r="E93" s="4" t="s">
        <v>441</v>
      </c>
    </row>
    <row r="94" spans="1:5" ht="12.75" customHeight="1">
      <c r="A94" s="4" t="s">
        <v>185</v>
      </c>
      <c r="B94" s="4" t="s">
        <v>115</v>
      </c>
      <c r="C94" s="5" t="s">
        <v>241</v>
      </c>
      <c r="D94" s="4" t="s">
        <v>93</v>
      </c>
      <c r="E94" s="4" t="s">
        <v>441</v>
      </c>
    </row>
    <row r="95" spans="1:5" ht="12.75" customHeight="1">
      <c r="A95" s="4" t="s">
        <v>92</v>
      </c>
      <c r="B95" s="4" t="s">
        <v>389</v>
      </c>
      <c r="C95" s="5" t="s">
        <v>371</v>
      </c>
      <c r="D95" s="4" t="s">
        <v>93</v>
      </c>
      <c r="E95" s="4" t="s">
        <v>441</v>
      </c>
    </row>
    <row r="96" spans="1:5" ht="12.75" customHeight="1">
      <c r="A96" s="4" t="s">
        <v>142</v>
      </c>
      <c r="B96" s="4" t="s">
        <v>277</v>
      </c>
      <c r="C96" s="5" t="s">
        <v>582</v>
      </c>
      <c r="D96" s="4" t="s">
        <v>93</v>
      </c>
      <c r="E96" s="4" t="s">
        <v>441</v>
      </c>
    </row>
    <row r="97" spans="1:5" ht="12.75" customHeight="1">
      <c r="A97" s="4" t="s">
        <v>502</v>
      </c>
      <c r="B97" s="4" t="s">
        <v>319</v>
      </c>
      <c r="C97" s="5" t="s">
        <v>630</v>
      </c>
      <c r="D97" s="4" t="s">
        <v>93</v>
      </c>
      <c r="E97" s="4" t="s">
        <v>441</v>
      </c>
    </row>
    <row r="98" spans="1:5" ht="12.75" customHeight="1">
      <c r="A98" s="4" t="s">
        <v>449</v>
      </c>
      <c r="B98" s="4" t="s">
        <v>350</v>
      </c>
      <c r="C98" s="5" t="s">
        <v>25</v>
      </c>
      <c r="D98" s="4" t="s">
        <v>93</v>
      </c>
      <c r="E98" s="4" t="s">
        <v>441</v>
      </c>
    </row>
    <row r="99" spans="1:5" ht="12.75" customHeight="1">
      <c r="A99" s="4" t="s">
        <v>588</v>
      </c>
      <c r="B99" s="4" t="s">
        <v>554</v>
      </c>
      <c r="C99" s="5" t="s">
        <v>676</v>
      </c>
      <c r="D99" s="4" t="s">
        <v>637</v>
      </c>
      <c r="E99" s="4" t="s">
        <v>666</v>
      </c>
    </row>
    <row r="100" spans="1:7" ht="12.75" customHeight="1">
      <c r="A100" s="4" t="s">
        <v>285</v>
      </c>
      <c r="B100" s="4" t="s">
        <v>347</v>
      </c>
      <c r="C100" s="5" t="s">
        <v>267</v>
      </c>
      <c r="F100" s="4">
        <v>320</v>
      </c>
      <c r="G100" s="4" t="s">
        <v>512</v>
      </c>
    </row>
    <row r="101" spans="1:7" ht="12.75" customHeight="1">
      <c r="A101" s="4" t="s">
        <v>61</v>
      </c>
      <c r="B101" s="4" t="s">
        <v>617</v>
      </c>
      <c r="C101" s="5" t="s">
        <v>581</v>
      </c>
      <c r="F101" s="4">
        <v>520</v>
      </c>
      <c r="G101" s="4" t="s">
        <v>441</v>
      </c>
    </row>
    <row r="102" spans="1:7" ht="12.75" customHeight="1">
      <c r="A102" s="4" t="s">
        <v>154</v>
      </c>
      <c r="B102" s="4" t="s">
        <v>400</v>
      </c>
      <c r="C102" s="5" t="s">
        <v>603</v>
      </c>
      <c r="F102" s="4">
        <v>600</v>
      </c>
      <c r="G102" s="4" t="s">
        <v>512</v>
      </c>
    </row>
    <row r="103" spans="1:7" ht="12.75" customHeight="1">
      <c r="A103" s="4" t="s">
        <v>225</v>
      </c>
      <c r="B103" s="4" t="s">
        <v>239</v>
      </c>
      <c r="C103" s="5" t="s">
        <v>16</v>
      </c>
      <c r="F103" s="4">
        <v>610</v>
      </c>
      <c r="G103" s="4" t="s">
        <v>441</v>
      </c>
    </row>
    <row r="104" spans="1:7" ht="12.75" customHeight="1">
      <c r="A104" s="4" t="s">
        <v>299</v>
      </c>
      <c r="B104" s="4" t="s">
        <v>108</v>
      </c>
      <c r="C104" s="5">
        <v>9781597160001</v>
      </c>
      <c r="F104" s="4">
        <v>640</v>
      </c>
      <c r="G104" s="4" t="s">
        <v>34</v>
      </c>
    </row>
    <row r="105" spans="1:7" ht="12.75" customHeight="1">
      <c r="A105" s="4" t="s">
        <v>240</v>
      </c>
      <c r="B105" s="4" t="s">
        <v>201</v>
      </c>
      <c r="C105" s="5">
        <v>9781597160032</v>
      </c>
      <c r="F105" s="4">
        <v>640</v>
      </c>
      <c r="G105" s="4" t="s">
        <v>34</v>
      </c>
    </row>
    <row r="106" spans="1:7" ht="12.75" customHeight="1">
      <c r="A106" s="4" t="s">
        <v>573</v>
      </c>
      <c r="B106" s="4" t="s">
        <v>219</v>
      </c>
      <c r="C106" s="5" t="s">
        <v>226</v>
      </c>
      <c r="F106" s="4">
        <v>650</v>
      </c>
      <c r="G106" s="4" t="s">
        <v>512</v>
      </c>
    </row>
    <row r="107" spans="1:7" ht="12.75" customHeight="1">
      <c r="A107" s="4" t="s">
        <v>619</v>
      </c>
      <c r="B107" s="4" t="s">
        <v>351</v>
      </c>
      <c r="C107" s="5">
        <v>9781597160018</v>
      </c>
      <c r="F107" s="4">
        <v>650</v>
      </c>
      <c r="G107" s="4" t="s">
        <v>34</v>
      </c>
    </row>
    <row r="108" spans="1:7" ht="12.75" customHeight="1">
      <c r="A108" s="4" t="s">
        <v>578</v>
      </c>
      <c r="B108" s="4" t="s">
        <v>652</v>
      </c>
      <c r="C108" s="5">
        <v>9781597160025</v>
      </c>
      <c r="F108" s="4">
        <v>650</v>
      </c>
      <c r="G108" s="4" t="s">
        <v>34</v>
      </c>
    </row>
    <row r="109" spans="1:7" ht="12.75" customHeight="1">
      <c r="A109" s="4" t="s">
        <v>332</v>
      </c>
      <c r="B109" s="4" t="s">
        <v>119</v>
      </c>
      <c r="C109" s="5">
        <v>9781597166348</v>
      </c>
      <c r="F109" s="4">
        <v>660</v>
      </c>
      <c r="G109" s="4" t="s">
        <v>34</v>
      </c>
    </row>
    <row r="110" spans="1:7" ht="12.75" customHeight="1">
      <c r="A110" s="4" t="s">
        <v>2</v>
      </c>
      <c r="B110" s="4" t="s">
        <v>201</v>
      </c>
      <c r="C110" s="5">
        <v>9781597160049</v>
      </c>
      <c r="F110" s="4">
        <v>670</v>
      </c>
      <c r="G110" s="4" t="s">
        <v>34</v>
      </c>
    </row>
    <row r="111" spans="1:7" ht="12.75" customHeight="1">
      <c r="A111" s="4" t="s">
        <v>493</v>
      </c>
      <c r="B111" s="4" t="s">
        <v>67</v>
      </c>
      <c r="C111" s="5">
        <v>9781597163651</v>
      </c>
      <c r="F111" s="4">
        <v>680</v>
      </c>
      <c r="G111" s="4" t="s">
        <v>34</v>
      </c>
    </row>
    <row r="112" spans="1:7" ht="12.75" customHeight="1">
      <c r="A112" s="4" t="s">
        <v>409</v>
      </c>
      <c r="B112" s="4" t="s">
        <v>351</v>
      </c>
      <c r="C112" s="5">
        <v>9781597160056</v>
      </c>
      <c r="F112" s="4">
        <v>680</v>
      </c>
      <c r="G112" s="4" t="s">
        <v>34</v>
      </c>
    </row>
    <row r="113" spans="1:7" ht="12.75" customHeight="1">
      <c r="A113" s="4" t="s">
        <v>447</v>
      </c>
      <c r="B113" s="4" t="s">
        <v>108</v>
      </c>
      <c r="C113" s="5">
        <v>9781597160698</v>
      </c>
      <c r="F113" s="4">
        <v>690</v>
      </c>
      <c r="G113" s="4" t="s">
        <v>34</v>
      </c>
    </row>
    <row r="114" spans="1:7" ht="12.75" customHeight="1">
      <c r="A114" s="4" t="s">
        <v>306</v>
      </c>
      <c r="B114" s="4" t="s">
        <v>609</v>
      </c>
      <c r="C114" s="5" t="s">
        <v>614</v>
      </c>
      <c r="F114" s="4">
        <v>690</v>
      </c>
      <c r="G114" s="4" t="s">
        <v>512</v>
      </c>
    </row>
    <row r="115" spans="1:7" ht="12.75" customHeight="1">
      <c r="A115" s="4" t="s">
        <v>460</v>
      </c>
      <c r="B115" s="4" t="s">
        <v>344</v>
      </c>
      <c r="C115" s="5" t="s">
        <v>21</v>
      </c>
      <c r="F115" s="4">
        <v>690</v>
      </c>
      <c r="G115" s="4" t="s">
        <v>451</v>
      </c>
    </row>
    <row r="116" spans="1:7" ht="12.75" customHeight="1">
      <c r="A116" s="4" t="s">
        <v>143</v>
      </c>
      <c r="B116" s="4" t="s">
        <v>161</v>
      </c>
      <c r="C116" s="5">
        <v>9781597162586</v>
      </c>
      <c r="F116" s="4">
        <v>690</v>
      </c>
      <c r="G116" s="4" t="s">
        <v>34</v>
      </c>
    </row>
    <row r="117" spans="1:7" ht="12.75" customHeight="1">
      <c r="A117" s="4" t="s">
        <v>208</v>
      </c>
      <c r="B117" s="4" t="s">
        <v>119</v>
      </c>
      <c r="C117" s="5">
        <v>9781597166331</v>
      </c>
      <c r="F117" s="4">
        <v>700</v>
      </c>
      <c r="G117" s="4" t="s">
        <v>34</v>
      </c>
    </row>
    <row r="118" spans="1:7" ht="12.75" customHeight="1">
      <c r="A118" s="4" t="s">
        <v>50</v>
      </c>
      <c r="B118" s="4" t="s">
        <v>161</v>
      </c>
      <c r="C118" s="5">
        <v>9781597162562</v>
      </c>
      <c r="F118" s="4">
        <v>710</v>
      </c>
      <c r="G118" s="4" t="s">
        <v>34</v>
      </c>
    </row>
    <row r="119" spans="1:7" ht="12.75" customHeight="1">
      <c r="A119" s="4" t="s">
        <v>596</v>
      </c>
      <c r="B119" s="4" t="s">
        <v>472</v>
      </c>
      <c r="C119" s="5" t="s">
        <v>464</v>
      </c>
      <c r="F119" s="4">
        <v>720</v>
      </c>
      <c r="G119" s="4" t="s">
        <v>512</v>
      </c>
    </row>
    <row r="120" spans="1:7" ht="12.75" customHeight="1">
      <c r="A120" s="4" t="s">
        <v>410</v>
      </c>
      <c r="B120" s="4" t="s">
        <v>108</v>
      </c>
      <c r="C120" s="5">
        <v>9781597160704</v>
      </c>
      <c r="F120" s="4">
        <v>720</v>
      </c>
      <c r="G120" s="4" t="s">
        <v>34</v>
      </c>
    </row>
    <row r="121" spans="1:7" ht="12.75" customHeight="1">
      <c r="A121" s="4" t="s">
        <v>401</v>
      </c>
      <c r="B121" s="4" t="s">
        <v>653</v>
      </c>
      <c r="C121" s="5" t="s">
        <v>417</v>
      </c>
      <c r="F121" s="4">
        <v>720</v>
      </c>
      <c r="G121" s="4" t="s">
        <v>512</v>
      </c>
    </row>
    <row r="122" spans="1:7" ht="12.75" customHeight="1">
      <c r="A122" s="4" t="s">
        <v>153</v>
      </c>
      <c r="B122" s="4" t="s">
        <v>653</v>
      </c>
      <c r="C122" s="5">
        <v>9781597166270</v>
      </c>
      <c r="F122" s="4">
        <v>720</v>
      </c>
      <c r="G122" s="4" t="s">
        <v>34</v>
      </c>
    </row>
    <row r="123" spans="1:7" ht="12.75" customHeight="1">
      <c r="A123" s="4" t="s">
        <v>509</v>
      </c>
      <c r="B123" s="4" t="s">
        <v>55</v>
      </c>
      <c r="C123" s="5">
        <v>9781597161640</v>
      </c>
      <c r="F123" s="4">
        <v>720</v>
      </c>
      <c r="G123" s="4" t="s">
        <v>34</v>
      </c>
    </row>
    <row r="124" spans="1:7" ht="12.75" customHeight="1">
      <c r="A124" s="4" t="s">
        <v>295</v>
      </c>
      <c r="B124" s="4" t="s">
        <v>67</v>
      </c>
      <c r="C124" s="5">
        <v>9781597163590</v>
      </c>
      <c r="F124" s="4">
        <v>720</v>
      </c>
      <c r="G124" s="4" t="s">
        <v>34</v>
      </c>
    </row>
    <row r="125" spans="1:7" ht="12.75" customHeight="1">
      <c r="A125" s="4" t="s">
        <v>47</v>
      </c>
      <c r="B125" s="4" t="s">
        <v>222</v>
      </c>
      <c r="C125" s="5">
        <v>9781597161596</v>
      </c>
      <c r="F125" s="4">
        <v>730</v>
      </c>
      <c r="G125" s="4" t="s">
        <v>34</v>
      </c>
    </row>
    <row r="126" spans="1:7" ht="12.75" customHeight="1">
      <c r="A126" s="4" t="s">
        <v>474</v>
      </c>
      <c r="B126" s="4" t="s">
        <v>55</v>
      </c>
      <c r="C126" s="5">
        <v>9781597161626</v>
      </c>
      <c r="F126" s="4">
        <v>730</v>
      </c>
      <c r="G126" s="4" t="s">
        <v>34</v>
      </c>
    </row>
    <row r="127" spans="1:7" ht="12.75" customHeight="1">
      <c r="A127" s="4" t="s">
        <v>623</v>
      </c>
      <c r="B127" s="4" t="s">
        <v>492</v>
      </c>
      <c r="C127" s="5" t="s">
        <v>439</v>
      </c>
      <c r="F127" s="4">
        <v>730</v>
      </c>
      <c r="G127" s="4" t="s">
        <v>512</v>
      </c>
    </row>
    <row r="128" spans="1:7" ht="12.75" customHeight="1">
      <c r="A128" s="4" t="s">
        <v>286</v>
      </c>
      <c r="B128" s="4" t="s">
        <v>202</v>
      </c>
      <c r="C128" s="5" t="s">
        <v>635</v>
      </c>
      <c r="F128" s="4">
        <v>730</v>
      </c>
      <c r="G128" s="4" t="s">
        <v>512</v>
      </c>
    </row>
    <row r="129" spans="1:7" ht="12.75" customHeight="1">
      <c r="A129" s="4" t="s">
        <v>529</v>
      </c>
      <c r="B129" s="4" t="s">
        <v>515</v>
      </c>
      <c r="C129" s="5" t="s">
        <v>372</v>
      </c>
      <c r="F129" s="4">
        <v>730</v>
      </c>
      <c r="G129" s="4" t="s">
        <v>512</v>
      </c>
    </row>
    <row r="130" spans="1:7" ht="12.75" customHeight="1">
      <c r="A130" s="4" t="s">
        <v>607</v>
      </c>
      <c r="B130" s="4" t="s">
        <v>250</v>
      </c>
      <c r="C130" s="5">
        <v>9781597162487</v>
      </c>
      <c r="F130" s="4">
        <v>740</v>
      </c>
      <c r="G130" s="4" t="s">
        <v>34</v>
      </c>
    </row>
    <row r="131" spans="1:7" ht="12.75" customHeight="1">
      <c r="A131" s="4" t="s">
        <v>415</v>
      </c>
      <c r="B131" s="4" t="s">
        <v>161</v>
      </c>
      <c r="C131" s="5">
        <v>9781597165785</v>
      </c>
      <c r="F131" s="4">
        <v>740</v>
      </c>
      <c r="G131" s="4" t="s">
        <v>34</v>
      </c>
    </row>
    <row r="132" spans="1:7" ht="12.75" customHeight="1">
      <c r="A132" s="4" t="s">
        <v>612</v>
      </c>
      <c r="B132" s="4" t="s">
        <v>161</v>
      </c>
      <c r="C132" s="5">
        <v>9781597167321</v>
      </c>
      <c r="F132" s="4">
        <v>750</v>
      </c>
      <c r="G132" s="4" t="s">
        <v>34</v>
      </c>
    </row>
    <row r="133" spans="1:7" ht="12.75" customHeight="1">
      <c r="A133" s="4" t="s">
        <v>29</v>
      </c>
      <c r="B133" s="4" t="s">
        <v>279</v>
      </c>
      <c r="C133" s="5" t="s">
        <v>660</v>
      </c>
      <c r="F133" s="4">
        <v>750</v>
      </c>
      <c r="G133" s="4" t="s">
        <v>512</v>
      </c>
    </row>
    <row r="134" spans="1:7" ht="12.75" customHeight="1">
      <c r="A134" s="4" t="s">
        <v>402</v>
      </c>
      <c r="B134" s="4" t="s">
        <v>274</v>
      </c>
      <c r="C134" s="5">
        <v>9781597162661</v>
      </c>
      <c r="F134" s="4">
        <v>750</v>
      </c>
      <c r="G134" s="4" t="s">
        <v>34</v>
      </c>
    </row>
    <row r="135" spans="1:7" ht="12.75" customHeight="1">
      <c r="A135" s="4" t="s">
        <v>257</v>
      </c>
      <c r="B135" s="4" t="s">
        <v>593</v>
      </c>
      <c r="C135" s="5">
        <v>9781597163675</v>
      </c>
      <c r="F135" s="4">
        <v>750</v>
      </c>
      <c r="G135" s="4" t="s">
        <v>34</v>
      </c>
    </row>
    <row r="136" spans="1:7" ht="12.75" customHeight="1">
      <c r="A136" s="4" t="s">
        <v>38</v>
      </c>
      <c r="B136" s="4" t="s">
        <v>109</v>
      </c>
      <c r="C136" s="5">
        <v>9781597162494</v>
      </c>
      <c r="F136" s="4">
        <v>750</v>
      </c>
      <c r="G136" s="4" t="s">
        <v>34</v>
      </c>
    </row>
    <row r="137" spans="1:7" ht="12.75" customHeight="1">
      <c r="A137" s="4" t="s">
        <v>476</v>
      </c>
      <c r="B137" s="4" t="s">
        <v>55</v>
      </c>
      <c r="C137" s="5">
        <v>9781597163705</v>
      </c>
      <c r="F137" s="4">
        <v>750</v>
      </c>
      <c r="G137" s="4" t="s">
        <v>34</v>
      </c>
    </row>
    <row r="138" spans="1:7" ht="12.75" customHeight="1">
      <c r="A138" s="4" t="s">
        <v>217</v>
      </c>
      <c r="B138" s="4" t="s">
        <v>119</v>
      </c>
      <c r="C138" s="5">
        <v>9781597166324</v>
      </c>
      <c r="F138" s="4">
        <v>760</v>
      </c>
      <c r="G138" s="4" t="s">
        <v>34</v>
      </c>
    </row>
    <row r="139" spans="1:7" ht="12.75" customHeight="1">
      <c r="A139" s="4" t="s">
        <v>403</v>
      </c>
      <c r="B139" s="4" t="s">
        <v>46</v>
      </c>
      <c r="C139" s="5">
        <v>9781597161602</v>
      </c>
      <c r="F139" s="4">
        <v>760</v>
      </c>
      <c r="G139" s="4" t="s">
        <v>34</v>
      </c>
    </row>
    <row r="140" spans="1:7" ht="12.75" customHeight="1">
      <c r="A140" s="4" t="s">
        <v>14</v>
      </c>
      <c r="B140" s="4" t="s">
        <v>75</v>
      </c>
      <c r="C140" s="5">
        <v>9781597161619</v>
      </c>
      <c r="F140" s="4">
        <v>760</v>
      </c>
      <c r="G140" s="4" t="s">
        <v>34</v>
      </c>
    </row>
    <row r="141" spans="1:7" ht="12.75" customHeight="1">
      <c r="A141" s="4" t="s">
        <v>203</v>
      </c>
      <c r="B141" s="4" t="s">
        <v>194</v>
      </c>
      <c r="C141" s="5">
        <v>9781597165488</v>
      </c>
      <c r="F141" s="4">
        <v>760</v>
      </c>
      <c r="G141" s="4" t="s">
        <v>34</v>
      </c>
    </row>
    <row r="142" spans="1:7" ht="12.75" customHeight="1">
      <c r="A142" s="4" t="s">
        <v>129</v>
      </c>
      <c r="B142" s="4" t="s">
        <v>335</v>
      </c>
      <c r="C142" s="5">
        <v>9781597163620</v>
      </c>
      <c r="F142" s="4">
        <v>760</v>
      </c>
      <c r="G142" s="4" t="s">
        <v>34</v>
      </c>
    </row>
    <row r="143" spans="1:7" ht="12.75" customHeight="1">
      <c r="A143" s="4" t="s">
        <v>454</v>
      </c>
      <c r="B143" s="4" t="s">
        <v>654</v>
      </c>
      <c r="C143" s="5">
        <v>9781597167505</v>
      </c>
      <c r="F143" s="4">
        <v>760</v>
      </c>
      <c r="G143" s="4" t="s">
        <v>34</v>
      </c>
    </row>
    <row r="144" spans="1:7" ht="12.75" customHeight="1">
      <c r="A144" s="4" t="s">
        <v>461</v>
      </c>
      <c r="B144" s="4" t="s">
        <v>119</v>
      </c>
      <c r="C144" s="5">
        <v>9781597163989</v>
      </c>
      <c r="F144" s="4">
        <v>760</v>
      </c>
      <c r="G144" s="4" t="s">
        <v>34</v>
      </c>
    </row>
    <row r="145" spans="1:7" ht="12.75" customHeight="1">
      <c r="A145" s="4" t="s">
        <v>146</v>
      </c>
      <c r="B145" s="4" t="s">
        <v>183</v>
      </c>
      <c r="C145" s="5">
        <v>9781597160810</v>
      </c>
      <c r="F145" s="4">
        <v>760</v>
      </c>
      <c r="G145" s="4" t="s">
        <v>34</v>
      </c>
    </row>
    <row r="146" spans="1:7" ht="12.75" customHeight="1">
      <c r="A146" s="4" t="s">
        <v>370</v>
      </c>
      <c r="B146" s="4" t="s">
        <v>507</v>
      </c>
      <c r="C146" s="5">
        <v>9781597162548</v>
      </c>
      <c r="F146" s="4">
        <v>760</v>
      </c>
      <c r="G146" s="4" t="s">
        <v>34</v>
      </c>
    </row>
    <row r="147" spans="1:7" ht="12.75" customHeight="1">
      <c r="A147" s="4" t="s">
        <v>558</v>
      </c>
      <c r="B147" s="4" t="s">
        <v>481</v>
      </c>
      <c r="C147" s="5">
        <v>9781597163668</v>
      </c>
      <c r="F147" s="4">
        <v>760</v>
      </c>
      <c r="G147" s="4" t="s">
        <v>34</v>
      </c>
    </row>
    <row r="148" spans="1:7" ht="12.75" customHeight="1">
      <c r="A148" s="4" t="s">
        <v>147</v>
      </c>
      <c r="B148" s="4" t="s">
        <v>214</v>
      </c>
      <c r="C148" s="5">
        <v>9781597163613</v>
      </c>
      <c r="F148" s="4">
        <v>760</v>
      </c>
      <c r="G148" s="4" t="s">
        <v>34</v>
      </c>
    </row>
    <row r="149" spans="1:7" ht="12.75" customHeight="1">
      <c r="A149" s="4" t="s">
        <v>452</v>
      </c>
      <c r="B149" s="4" t="s">
        <v>35</v>
      </c>
      <c r="C149" s="5">
        <v>9781597165037</v>
      </c>
      <c r="F149" s="4">
        <v>770</v>
      </c>
      <c r="G149" s="4" t="s">
        <v>34</v>
      </c>
    </row>
    <row r="150" spans="1:7" ht="12.75" customHeight="1">
      <c r="A150" s="4" t="s">
        <v>463</v>
      </c>
      <c r="B150" s="4" t="s">
        <v>653</v>
      </c>
      <c r="C150" s="5">
        <v>9781597165051</v>
      </c>
      <c r="F150" s="4">
        <v>770</v>
      </c>
      <c r="G150" s="4" t="s">
        <v>34</v>
      </c>
    </row>
    <row r="151" spans="1:7" ht="12.75" customHeight="1">
      <c r="A151" s="4" t="s">
        <v>23</v>
      </c>
      <c r="B151" s="4" t="s">
        <v>500</v>
      </c>
      <c r="C151" s="5">
        <v>9781597163606</v>
      </c>
      <c r="F151" s="4">
        <v>770</v>
      </c>
      <c r="G151" s="4" t="s">
        <v>34</v>
      </c>
    </row>
    <row r="152" spans="1:7" ht="12.75" customHeight="1">
      <c r="A152" s="4" t="s">
        <v>323</v>
      </c>
      <c r="B152" s="4" t="s">
        <v>296</v>
      </c>
      <c r="C152" s="5">
        <v>9781597163637</v>
      </c>
      <c r="F152" s="4">
        <v>770</v>
      </c>
      <c r="G152" s="4" t="s">
        <v>34</v>
      </c>
    </row>
    <row r="153" spans="1:7" ht="12.75" customHeight="1">
      <c r="A153" s="4" t="s">
        <v>163</v>
      </c>
      <c r="B153" s="4" t="s">
        <v>435</v>
      </c>
      <c r="C153" s="5" t="s">
        <v>644</v>
      </c>
      <c r="F153" s="4">
        <v>770</v>
      </c>
      <c r="G153" s="4" t="s">
        <v>512</v>
      </c>
    </row>
    <row r="154" spans="1:7" ht="12.75" customHeight="1">
      <c r="A154" s="4" t="s">
        <v>553</v>
      </c>
      <c r="B154" s="4" t="s">
        <v>382</v>
      </c>
      <c r="C154" s="5">
        <v>9781597165792</v>
      </c>
      <c r="F154" s="4">
        <v>770</v>
      </c>
      <c r="G154" s="4" t="s">
        <v>34</v>
      </c>
    </row>
    <row r="155" spans="1:7" ht="12.75" customHeight="1">
      <c r="A155" s="4" t="s">
        <v>58</v>
      </c>
      <c r="B155" s="4" t="s">
        <v>483</v>
      </c>
      <c r="C155" s="5" t="s">
        <v>545</v>
      </c>
      <c r="F155" s="4">
        <v>770</v>
      </c>
      <c r="G155" s="4" t="s">
        <v>512</v>
      </c>
    </row>
    <row r="156" spans="1:7" ht="12.75" customHeight="1">
      <c r="A156" s="4" t="s">
        <v>327</v>
      </c>
      <c r="B156" s="4" t="s">
        <v>423</v>
      </c>
      <c r="C156" s="5">
        <v>9781597165068</v>
      </c>
      <c r="F156" s="4">
        <v>780</v>
      </c>
      <c r="G156" s="4" t="s">
        <v>34</v>
      </c>
    </row>
    <row r="157" spans="1:7" ht="12.75" customHeight="1">
      <c r="A157" s="4" t="s">
        <v>329</v>
      </c>
      <c r="B157" s="4" t="s">
        <v>184</v>
      </c>
      <c r="C157" s="5">
        <v>9781597163644</v>
      </c>
      <c r="F157" s="4">
        <v>780</v>
      </c>
      <c r="G157" s="4" t="s">
        <v>34</v>
      </c>
    </row>
    <row r="158" spans="1:7" ht="12.75" customHeight="1">
      <c r="A158" s="4" t="s">
        <v>270</v>
      </c>
      <c r="B158" s="4" t="s">
        <v>157</v>
      </c>
      <c r="C158" s="5" t="s">
        <v>672</v>
      </c>
      <c r="F158" s="4">
        <v>780</v>
      </c>
      <c r="G158" s="4" t="s">
        <v>512</v>
      </c>
    </row>
    <row r="159" spans="1:7" ht="12.75" customHeight="1">
      <c r="A159" s="4" t="s">
        <v>338</v>
      </c>
      <c r="B159" s="4" t="s">
        <v>222</v>
      </c>
      <c r="C159" s="5">
        <v>9781597166263</v>
      </c>
      <c r="F159" s="4">
        <v>780</v>
      </c>
      <c r="G159" s="4" t="s">
        <v>34</v>
      </c>
    </row>
    <row r="160" spans="1:3" ht="12.75" customHeight="1">
      <c r="A160" s="4" t="s">
        <v>357</v>
      </c>
      <c r="B160" s="4" t="s">
        <v>587</v>
      </c>
      <c r="C160" s="5">
        <v>9781597161633</v>
      </c>
    </row>
    <row r="161" spans="1:7" ht="12.75" customHeight="1">
      <c r="A161" s="4" t="s">
        <v>292</v>
      </c>
      <c r="B161" s="4" t="s">
        <v>170</v>
      </c>
      <c r="C161" s="5">
        <v>9781597160834</v>
      </c>
      <c r="F161" s="4">
        <v>780</v>
      </c>
      <c r="G161" s="4" t="s">
        <v>34</v>
      </c>
    </row>
    <row r="162" spans="1:7" ht="12.75" customHeight="1">
      <c r="A162" s="4" t="s">
        <v>430</v>
      </c>
      <c r="B162" s="4" t="s">
        <v>681</v>
      </c>
      <c r="C162" s="5" t="s">
        <v>564</v>
      </c>
      <c r="F162" s="4">
        <v>780</v>
      </c>
      <c r="G162" s="4" t="s">
        <v>512</v>
      </c>
    </row>
    <row r="163" spans="1:7" ht="12.75" customHeight="1">
      <c r="A163" s="4" t="s">
        <v>428</v>
      </c>
      <c r="B163" s="4" t="s">
        <v>335</v>
      </c>
      <c r="C163" s="5">
        <v>9781597165327</v>
      </c>
      <c r="F163" s="4">
        <v>790</v>
      </c>
      <c r="G163" s="4" t="s">
        <v>34</v>
      </c>
    </row>
    <row r="164" spans="1:7" ht="12.75" customHeight="1">
      <c r="A164" s="4" t="s">
        <v>475</v>
      </c>
      <c r="B164" s="4" t="s">
        <v>653</v>
      </c>
      <c r="C164" s="5">
        <v>9781597165075</v>
      </c>
      <c r="F164" s="4">
        <v>790</v>
      </c>
      <c r="G164" s="4" t="s">
        <v>34</v>
      </c>
    </row>
    <row r="165" spans="1:7" ht="12.75" customHeight="1">
      <c r="A165" s="4" t="s">
        <v>450</v>
      </c>
      <c r="B165" s="4" t="s">
        <v>642</v>
      </c>
      <c r="C165" s="5" t="s">
        <v>659</v>
      </c>
      <c r="F165" s="4">
        <v>790</v>
      </c>
      <c r="G165" s="4" t="s">
        <v>512</v>
      </c>
    </row>
    <row r="166" spans="1:7" ht="12.75" customHeight="1">
      <c r="A166" s="4" t="s">
        <v>113</v>
      </c>
      <c r="B166" s="4" t="s">
        <v>506</v>
      </c>
      <c r="C166" s="5">
        <v>9781597164009</v>
      </c>
      <c r="F166" s="4">
        <v>790</v>
      </c>
      <c r="G166" s="4" t="s">
        <v>34</v>
      </c>
    </row>
    <row r="167" spans="1:7" ht="12.75" customHeight="1">
      <c r="A167" s="4" t="s">
        <v>205</v>
      </c>
      <c r="B167" s="4" t="s">
        <v>613</v>
      </c>
      <c r="C167" s="5">
        <v>9781597164030</v>
      </c>
      <c r="F167" s="4">
        <v>790</v>
      </c>
      <c r="G167" s="4" t="s">
        <v>34</v>
      </c>
    </row>
    <row r="168" spans="1:7" ht="12.75" customHeight="1">
      <c r="A168" s="4" t="s">
        <v>670</v>
      </c>
      <c r="B168" s="4" t="s">
        <v>46</v>
      </c>
      <c r="C168" s="5">
        <v>9781597162593</v>
      </c>
      <c r="F168" s="4">
        <v>800</v>
      </c>
      <c r="G168" s="4" t="s">
        <v>34</v>
      </c>
    </row>
    <row r="169" spans="1:7" ht="12.75" customHeight="1">
      <c r="A169" s="4" t="s">
        <v>586</v>
      </c>
      <c r="B169" s="4" t="s">
        <v>620</v>
      </c>
      <c r="C169" s="5" t="s">
        <v>629</v>
      </c>
      <c r="F169" s="4">
        <v>800</v>
      </c>
      <c r="G169" s="4" t="s">
        <v>512</v>
      </c>
    </row>
    <row r="170" spans="1:7" ht="12.75" customHeight="1">
      <c r="A170" s="4" t="s">
        <v>273</v>
      </c>
      <c r="B170" s="4" t="s">
        <v>575</v>
      </c>
      <c r="C170" s="5">
        <v>9781597166300</v>
      </c>
      <c r="F170" s="4">
        <v>800</v>
      </c>
      <c r="G170" s="4" t="s">
        <v>34</v>
      </c>
    </row>
    <row r="171" spans="1:7" ht="12.75" customHeight="1">
      <c r="A171" s="4" t="s">
        <v>566</v>
      </c>
      <c r="B171" s="4" t="s">
        <v>489</v>
      </c>
      <c r="C171" s="5" t="s">
        <v>624</v>
      </c>
      <c r="F171" s="4">
        <v>800</v>
      </c>
      <c r="G171" s="4" t="s">
        <v>512</v>
      </c>
    </row>
    <row r="172" spans="1:7" ht="12.75" customHeight="1">
      <c r="A172" s="4" t="s">
        <v>592</v>
      </c>
      <c r="B172" s="4" t="s">
        <v>198</v>
      </c>
      <c r="C172" s="5">
        <v>9781597160841</v>
      </c>
      <c r="F172" s="4">
        <v>800</v>
      </c>
      <c r="G172" s="4" t="s">
        <v>34</v>
      </c>
    </row>
    <row r="173" spans="1:7" ht="12.75" customHeight="1">
      <c r="A173" s="4" t="s">
        <v>673</v>
      </c>
      <c r="B173" s="4" t="s">
        <v>41</v>
      </c>
      <c r="C173" s="5">
        <v>9781597162579</v>
      </c>
      <c r="F173" s="4">
        <v>800</v>
      </c>
      <c r="G173" s="4" t="s">
        <v>34</v>
      </c>
    </row>
    <row r="174" spans="1:7" ht="12.75" customHeight="1">
      <c r="A174" s="4" t="s">
        <v>281</v>
      </c>
      <c r="B174" s="4" t="s">
        <v>642</v>
      </c>
      <c r="C174" s="5" t="s">
        <v>598</v>
      </c>
      <c r="F174" s="4">
        <v>810</v>
      </c>
      <c r="G174" s="4" t="s">
        <v>512</v>
      </c>
    </row>
    <row r="175" spans="1:7" ht="12.75" customHeight="1">
      <c r="A175" s="4" t="s">
        <v>314</v>
      </c>
      <c r="B175" s="4" t="s">
        <v>593</v>
      </c>
      <c r="C175" s="5">
        <v>9781597165044</v>
      </c>
      <c r="F175" s="4">
        <v>810</v>
      </c>
      <c r="G175" s="4" t="s">
        <v>34</v>
      </c>
    </row>
    <row r="176" spans="1:7" ht="12.75" customHeight="1">
      <c r="A176" s="4" t="s">
        <v>467</v>
      </c>
      <c r="B176" s="4" t="s">
        <v>517</v>
      </c>
      <c r="C176" s="5">
        <v>9781597165471</v>
      </c>
      <c r="F176" s="4">
        <v>810</v>
      </c>
      <c r="G176" s="4" t="s">
        <v>34</v>
      </c>
    </row>
    <row r="177" spans="1:7" ht="12.75" customHeight="1">
      <c r="A177" s="4" t="s">
        <v>134</v>
      </c>
      <c r="B177" s="4" t="s">
        <v>375</v>
      </c>
      <c r="C177" s="5">
        <v>9781597166355</v>
      </c>
      <c r="F177" s="4">
        <v>810</v>
      </c>
      <c r="G177" s="4" t="s">
        <v>34</v>
      </c>
    </row>
    <row r="178" spans="1:7" ht="12.75" customHeight="1">
      <c r="A178" s="4" t="s">
        <v>600</v>
      </c>
      <c r="B178" s="4" t="s">
        <v>161</v>
      </c>
      <c r="C178" s="5">
        <v>9781597165020</v>
      </c>
      <c r="F178" s="4">
        <v>810</v>
      </c>
      <c r="G178" s="4" t="s">
        <v>34</v>
      </c>
    </row>
    <row r="179" spans="1:7" ht="12.75" customHeight="1">
      <c r="A179" s="4" t="s">
        <v>419</v>
      </c>
      <c r="B179" s="4" t="s">
        <v>396</v>
      </c>
      <c r="C179" s="5">
        <v>9781597166317</v>
      </c>
      <c r="F179" s="4">
        <v>810</v>
      </c>
      <c r="G179" s="4" t="s">
        <v>34</v>
      </c>
    </row>
    <row r="180" spans="1:7" ht="12.75" customHeight="1">
      <c r="A180" s="4" t="s">
        <v>230</v>
      </c>
      <c r="B180" s="4" t="s">
        <v>435</v>
      </c>
      <c r="C180" s="5" t="s">
        <v>132</v>
      </c>
      <c r="F180" s="4">
        <v>810</v>
      </c>
      <c r="G180" s="4" t="s">
        <v>512</v>
      </c>
    </row>
    <row r="181" spans="1:7" ht="12.75" customHeight="1">
      <c r="A181" s="4" t="s">
        <v>162</v>
      </c>
      <c r="B181" s="4" t="s">
        <v>119</v>
      </c>
      <c r="C181" s="5">
        <v>9781597164023</v>
      </c>
      <c r="F181" s="4">
        <v>810</v>
      </c>
      <c r="G181" s="4" t="s">
        <v>34</v>
      </c>
    </row>
    <row r="182" spans="1:7" ht="12.75" customHeight="1">
      <c r="A182" s="4" t="s">
        <v>663</v>
      </c>
      <c r="B182" s="4" t="s">
        <v>222</v>
      </c>
      <c r="C182" s="5">
        <v>9781597163996</v>
      </c>
      <c r="F182" s="4">
        <v>810</v>
      </c>
      <c r="G182" s="4" t="s">
        <v>34</v>
      </c>
    </row>
    <row r="183" spans="1:7" ht="12.75" customHeight="1">
      <c r="A183" s="4" t="s">
        <v>289</v>
      </c>
      <c r="B183" s="4" t="s">
        <v>198</v>
      </c>
      <c r="C183" s="5">
        <v>9781597160803</v>
      </c>
      <c r="F183" s="4">
        <v>810</v>
      </c>
      <c r="G183" s="4" t="s">
        <v>34</v>
      </c>
    </row>
    <row r="184" spans="1:7" ht="12.75" customHeight="1">
      <c r="A184" s="4" t="s">
        <v>169</v>
      </c>
      <c r="B184" s="4" t="s">
        <v>183</v>
      </c>
      <c r="C184" s="5">
        <v>9781597160827</v>
      </c>
      <c r="F184" s="4">
        <v>810</v>
      </c>
      <c r="G184" s="4" t="s">
        <v>34</v>
      </c>
    </row>
    <row r="185" spans="1:7" ht="12.75" customHeight="1">
      <c r="A185" s="4" t="s">
        <v>312</v>
      </c>
      <c r="B185" s="4" t="s">
        <v>224</v>
      </c>
      <c r="C185" s="5">
        <v>9781597167307</v>
      </c>
      <c r="F185" s="4">
        <v>820</v>
      </c>
      <c r="G185" s="4" t="s">
        <v>34</v>
      </c>
    </row>
    <row r="186" spans="1:7" ht="12.75" customHeight="1">
      <c r="A186" s="4" t="s">
        <v>482</v>
      </c>
      <c r="B186" s="4" t="s">
        <v>620</v>
      </c>
      <c r="C186" s="5" t="s">
        <v>594</v>
      </c>
      <c r="F186" s="4">
        <v>820</v>
      </c>
      <c r="G186" s="4" t="s">
        <v>512</v>
      </c>
    </row>
    <row r="187" spans="1:7" ht="12.75" customHeight="1">
      <c r="A187" s="4" t="s">
        <v>20</v>
      </c>
      <c r="B187" s="4" t="s">
        <v>233</v>
      </c>
      <c r="C187" s="5" t="s">
        <v>167</v>
      </c>
      <c r="F187" s="4">
        <v>820</v>
      </c>
      <c r="G187" s="4" t="s">
        <v>512</v>
      </c>
    </row>
    <row r="188" spans="1:7" ht="12.75" customHeight="1">
      <c r="A188" s="4" t="s">
        <v>661</v>
      </c>
      <c r="B188" s="4" t="s">
        <v>280</v>
      </c>
      <c r="C188" s="5" t="s">
        <v>377</v>
      </c>
      <c r="F188" s="4">
        <v>820</v>
      </c>
      <c r="G188" s="4" t="s">
        <v>512</v>
      </c>
    </row>
    <row r="189" spans="1:7" ht="12.75" customHeight="1">
      <c r="A189" s="4" t="s">
        <v>330</v>
      </c>
      <c r="B189" s="4" t="s">
        <v>642</v>
      </c>
      <c r="C189" s="5" t="s">
        <v>641</v>
      </c>
      <c r="F189" s="4">
        <v>820</v>
      </c>
      <c r="G189" s="4" t="s">
        <v>512</v>
      </c>
    </row>
    <row r="190" spans="1:7" ht="12.75" customHeight="1">
      <c r="A190" s="4" t="s">
        <v>256</v>
      </c>
      <c r="B190" s="4" t="s">
        <v>194</v>
      </c>
      <c r="C190" s="5">
        <v>9781597165501</v>
      </c>
      <c r="F190" s="4">
        <v>820</v>
      </c>
      <c r="G190" s="4" t="s">
        <v>34</v>
      </c>
    </row>
    <row r="191" spans="1:7" ht="12.75" customHeight="1">
      <c r="A191" s="4" t="s">
        <v>341</v>
      </c>
      <c r="B191" s="4" t="s">
        <v>222</v>
      </c>
      <c r="C191" s="5">
        <v>9781597162746</v>
      </c>
      <c r="F191" s="4">
        <v>820</v>
      </c>
      <c r="G191" s="4" t="s">
        <v>34</v>
      </c>
    </row>
    <row r="192" spans="1:7" ht="12.75" customHeight="1">
      <c r="A192" s="4" t="s">
        <v>259</v>
      </c>
      <c r="B192" s="4" t="s">
        <v>170</v>
      </c>
      <c r="C192" s="5">
        <v>9781597162531</v>
      </c>
      <c r="F192" s="4">
        <v>820</v>
      </c>
      <c r="G192" s="4" t="s">
        <v>34</v>
      </c>
    </row>
    <row r="193" spans="1:7" ht="12.75" customHeight="1">
      <c r="A193" s="4" t="s">
        <v>595</v>
      </c>
      <c r="B193" s="4" t="s">
        <v>8</v>
      </c>
      <c r="C193" s="5">
        <v>9781597167314</v>
      </c>
      <c r="F193" s="4">
        <v>830</v>
      </c>
      <c r="G193" s="4" t="s">
        <v>34</v>
      </c>
    </row>
    <row r="194" spans="1:7" ht="12.75" customHeight="1">
      <c r="A194" s="4" t="s">
        <v>456</v>
      </c>
      <c r="B194" s="4" t="s">
        <v>161</v>
      </c>
      <c r="C194" s="5">
        <v>9781597163682</v>
      </c>
      <c r="F194" s="4">
        <v>830</v>
      </c>
      <c r="G194" s="4" t="s">
        <v>34</v>
      </c>
    </row>
    <row r="195" spans="1:7" ht="12.75" customHeight="1">
      <c r="A195" s="4" t="s">
        <v>177</v>
      </c>
      <c r="B195" s="4" t="s">
        <v>67</v>
      </c>
      <c r="C195" s="5">
        <v>9781597165334</v>
      </c>
      <c r="F195" s="4">
        <v>830</v>
      </c>
      <c r="G195" s="4" t="s">
        <v>34</v>
      </c>
    </row>
    <row r="196" spans="1:7" ht="12.75" customHeight="1">
      <c r="A196" s="4" t="s">
        <v>576</v>
      </c>
      <c r="B196" s="4" t="s">
        <v>145</v>
      </c>
      <c r="C196" s="5">
        <v>9781597165495</v>
      </c>
      <c r="F196" s="4">
        <v>830</v>
      </c>
      <c r="G196" s="4" t="s">
        <v>34</v>
      </c>
    </row>
    <row r="197" spans="1:3" ht="12.75" customHeight="1">
      <c r="A197" s="4" t="s">
        <v>677</v>
      </c>
      <c r="B197" s="4" t="s">
        <v>65</v>
      </c>
      <c r="C197" s="5">
        <v>9781597162500</v>
      </c>
    </row>
    <row r="198" spans="1:7" ht="12.75" customHeight="1">
      <c r="A198" s="4" t="s">
        <v>639</v>
      </c>
      <c r="B198" s="4" t="s">
        <v>198</v>
      </c>
      <c r="C198" s="5">
        <v>9781597160797</v>
      </c>
      <c r="F198" s="4">
        <v>830</v>
      </c>
      <c r="G198" s="4" t="s">
        <v>34</v>
      </c>
    </row>
    <row r="199" spans="1:7" ht="12.75" customHeight="1">
      <c r="A199" s="4" t="s">
        <v>196</v>
      </c>
      <c r="B199" s="4" t="s">
        <v>46</v>
      </c>
      <c r="C199" s="5">
        <v>9781597163736</v>
      </c>
      <c r="F199" s="4">
        <v>830</v>
      </c>
      <c r="G199" s="4" t="s">
        <v>34</v>
      </c>
    </row>
    <row r="200" spans="1:7" ht="12.75" customHeight="1">
      <c r="A200" s="4" t="s">
        <v>79</v>
      </c>
      <c r="B200" s="4" t="s">
        <v>380</v>
      </c>
      <c r="C200" s="5">
        <v>9781597167642</v>
      </c>
      <c r="F200" s="4">
        <v>840</v>
      </c>
      <c r="G200" s="4" t="s">
        <v>34</v>
      </c>
    </row>
    <row r="201" spans="1:7" ht="12.75" customHeight="1">
      <c r="A201" s="4" t="s">
        <v>408</v>
      </c>
      <c r="B201" s="4" t="s">
        <v>593</v>
      </c>
      <c r="C201" s="5">
        <v>9781597167352</v>
      </c>
      <c r="F201" s="4">
        <v>840</v>
      </c>
      <c r="G201" s="4" t="s">
        <v>34</v>
      </c>
    </row>
    <row r="202" spans="1:7" ht="12.75" customHeight="1">
      <c r="A202" s="4" t="s">
        <v>528</v>
      </c>
      <c r="B202" s="4" t="s">
        <v>116</v>
      </c>
      <c r="C202" s="5">
        <v>9780618916450</v>
      </c>
      <c r="F202" s="4">
        <v>840</v>
      </c>
      <c r="G202" s="4" t="s">
        <v>512</v>
      </c>
    </row>
    <row r="203" spans="1:7" ht="12.75" customHeight="1">
      <c r="A203" s="4" t="s">
        <v>223</v>
      </c>
      <c r="B203" s="4" t="s">
        <v>187</v>
      </c>
      <c r="C203" s="5">
        <v>9781597165518</v>
      </c>
      <c r="F203" s="4">
        <v>840</v>
      </c>
      <c r="G203" s="4" t="s">
        <v>34</v>
      </c>
    </row>
    <row r="204" spans="1:7" ht="12.75" customHeight="1">
      <c r="A204" s="4" t="s">
        <v>186</v>
      </c>
      <c r="B204" s="4" t="s">
        <v>504</v>
      </c>
      <c r="C204" s="5" t="s">
        <v>580</v>
      </c>
      <c r="F204" s="4">
        <v>840</v>
      </c>
      <c r="G204" s="4" t="s">
        <v>34</v>
      </c>
    </row>
    <row r="205" spans="1:7" ht="12.75" customHeight="1">
      <c r="A205" s="4" t="s">
        <v>501</v>
      </c>
      <c r="B205" s="4" t="s">
        <v>112</v>
      </c>
      <c r="C205" s="5">
        <v>9781597167338</v>
      </c>
      <c r="F205" s="4">
        <v>840</v>
      </c>
      <c r="G205" s="4" t="s">
        <v>34</v>
      </c>
    </row>
    <row r="206" spans="1:3" ht="12.75" customHeight="1">
      <c r="A206" s="4" t="s">
        <v>678</v>
      </c>
      <c r="B206" s="4" t="s">
        <v>194</v>
      </c>
      <c r="C206" s="5">
        <v>9781597165525</v>
      </c>
    </row>
    <row r="207" spans="1:7" ht="12.75" customHeight="1">
      <c r="A207" s="4" t="s">
        <v>221</v>
      </c>
      <c r="B207" s="4" t="s">
        <v>667</v>
      </c>
      <c r="C207" s="5" t="s">
        <v>288</v>
      </c>
      <c r="F207" s="4">
        <v>840</v>
      </c>
      <c r="G207" s="4" t="s">
        <v>512</v>
      </c>
    </row>
    <row r="208" spans="1:7" ht="12.75" customHeight="1">
      <c r="A208" s="4" t="s">
        <v>565</v>
      </c>
      <c r="B208" s="4" t="s">
        <v>321</v>
      </c>
      <c r="C208" s="5">
        <v>9781597164016</v>
      </c>
      <c r="F208" s="4">
        <v>850</v>
      </c>
      <c r="G208" s="4" t="s">
        <v>34</v>
      </c>
    </row>
    <row r="209" spans="1:7" ht="12.75" customHeight="1">
      <c r="A209" s="4" t="s">
        <v>258</v>
      </c>
      <c r="B209" s="4" t="s">
        <v>161</v>
      </c>
      <c r="C209" s="5">
        <v>9781597167420</v>
      </c>
      <c r="F209" s="4">
        <v>850</v>
      </c>
      <c r="G209" s="4" t="s">
        <v>34</v>
      </c>
    </row>
    <row r="210" spans="1:7" ht="12.75" customHeight="1">
      <c r="A210" s="4" t="s">
        <v>308</v>
      </c>
      <c r="B210" s="4" t="s">
        <v>105</v>
      </c>
      <c r="C210" s="5">
        <v>9781597165341</v>
      </c>
      <c r="F210" s="4">
        <v>850</v>
      </c>
      <c r="G210" s="4" t="s">
        <v>34</v>
      </c>
    </row>
    <row r="211" spans="1:7" ht="12.75" customHeight="1">
      <c r="A211" s="4" t="s">
        <v>284</v>
      </c>
      <c r="B211" s="4" t="s">
        <v>112</v>
      </c>
      <c r="C211" s="5">
        <v>9781597167345</v>
      </c>
      <c r="F211" s="4">
        <v>850</v>
      </c>
      <c r="G211" s="4" t="s">
        <v>34</v>
      </c>
    </row>
    <row r="212" spans="1:7" ht="12.75" customHeight="1">
      <c r="A212" s="4" t="s">
        <v>189</v>
      </c>
      <c r="B212" s="4" t="s">
        <v>161</v>
      </c>
      <c r="C212" s="5">
        <v>9781597167413</v>
      </c>
      <c r="F212" s="4">
        <v>860</v>
      </c>
      <c r="G212" s="4" t="s">
        <v>34</v>
      </c>
    </row>
    <row r="213" spans="1:7" ht="12.75" customHeight="1">
      <c r="A213" s="4" t="s">
        <v>395</v>
      </c>
      <c r="B213" s="4" t="s">
        <v>380</v>
      </c>
      <c r="C213" s="5">
        <v>9781597167673</v>
      </c>
      <c r="F213" s="4">
        <v>860</v>
      </c>
      <c r="G213" s="4" t="s">
        <v>34</v>
      </c>
    </row>
    <row r="214" spans="1:7" ht="12.75" customHeight="1">
      <c r="A214" s="4" t="s">
        <v>31</v>
      </c>
      <c r="B214" s="4" t="s">
        <v>280</v>
      </c>
      <c r="C214" s="5" t="s">
        <v>19</v>
      </c>
      <c r="F214" s="4">
        <v>860</v>
      </c>
      <c r="G214" s="4" t="s">
        <v>512</v>
      </c>
    </row>
    <row r="215" spans="1:7" ht="12.75" customHeight="1">
      <c r="A215" s="4" t="s">
        <v>88</v>
      </c>
      <c r="B215" s="4" t="s">
        <v>653</v>
      </c>
      <c r="C215" s="5" t="s">
        <v>339</v>
      </c>
      <c r="F215" s="4">
        <v>860</v>
      </c>
      <c r="G215" s="4" t="s">
        <v>512</v>
      </c>
    </row>
    <row r="216" spans="1:3" ht="12.75" customHeight="1">
      <c r="A216" s="4" t="s">
        <v>540</v>
      </c>
      <c r="B216" s="4" t="s">
        <v>222</v>
      </c>
      <c r="C216" s="5">
        <v>9781597167482</v>
      </c>
    </row>
    <row r="217" spans="1:7" ht="12.75" customHeight="1">
      <c r="A217" s="4" t="s">
        <v>13</v>
      </c>
      <c r="B217" s="4" t="s">
        <v>435</v>
      </c>
      <c r="C217" s="5" t="s">
        <v>53</v>
      </c>
      <c r="F217" s="4">
        <v>870</v>
      </c>
      <c r="G217" s="4" t="s">
        <v>512</v>
      </c>
    </row>
    <row r="218" spans="1:7" ht="12.75" customHeight="1">
      <c r="A218" s="4" t="s">
        <v>139</v>
      </c>
      <c r="B218" s="4" t="s">
        <v>653</v>
      </c>
      <c r="C218" s="5" t="s">
        <v>318</v>
      </c>
      <c r="F218" s="4">
        <v>870</v>
      </c>
      <c r="G218" s="4" t="s">
        <v>512</v>
      </c>
    </row>
    <row r="219" spans="1:7" ht="12.75" customHeight="1">
      <c r="A219" s="4" t="s">
        <v>5</v>
      </c>
      <c r="B219" s="4" t="s">
        <v>215</v>
      </c>
      <c r="C219" s="5" t="s">
        <v>213</v>
      </c>
      <c r="F219" s="4">
        <v>870</v>
      </c>
      <c r="G219" s="4" t="s">
        <v>512</v>
      </c>
    </row>
    <row r="220" spans="1:7" ht="12.75" customHeight="1">
      <c r="A220" s="4" t="s">
        <v>342</v>
      </c>
      <c r="B220" s="4" t="s">
        <v>41</v>
      </c>
      <c r="C220" s="5">
        <v>9781597167499</v>
      </c>
      <c r="F220" s="4">
        <v>880</v>
      </c>
      <c r="G220" s="4" t="s">
        <v>34</v>
      </c>
    </row>
    <row r="221" spans="1:7" ht="12.75" customHeight="1">
      <c r="A221" s="4" t="s">
        <v>245</v>
      </c>
      <c r="B221" s="4" t="s">
        <v>46</v>
      </c>
      <c r="C221" s="5">
        <v>9781597167437</v>
      </c>
      <c r="F221" s="4">
        <v>880</v>
      </c>
      <c r="G221" s="4" t="s">
        <v>34</v>
      </c>
    </row>
    <row r="222" spans="1:7" ht="12.75" customHeight="1">
      <c r="A222" s="4" t="s">
        <v>68</v>
      </c>
      <c r="B222" s="4" t="s">
        <v>380</v>
      </c>
      <c r="C222" s="5">
        <v>9781597167697</v>
      </c>
      <c r="F222" s="4">
        <v>880</v>
      </c>
      <c r="G222" s="4" t="s">
        <v>34</v>
      </c>
    </row>
    <row r="223" spans="1:7" ht="12.75" customHeight="1">
      <c r="A223" s="4" t="s">
        <v>601</v>
      </c>
      <c r="B223" s="4" t="s">
        <v>653</v>
      </c>
      <c r="C223" s="5">
        <v>9781597163699</v>
      </c>
      <c r="F223" s="4">
        <v>880</v>
      </c>
      <c r="G223" s="4" t="s">
        <v>34</v>
      </c>
    </row>
    <row r="224" spans="1:7" ht="12.75" customHeight="1">
      <c r="A224" s="4" t="s">
        <v>102</v>
      </c>
      <c r="B224" s="4" t="s">
        <v>321</v>
      </c>
      <c r="C224" s="5">
        <v>9781597167451</v>
      </c>
      <c r="F224" s="4">
        <v>880</v>
      </c>
      <c r="G224" s="4" t="s">
        <v>34</v>
      </c>
    </row>
    <row r="225" spans="1:7" ht="12.75" customHeight="1">
      <c r="A225" s="4" t="s">
        <v>45</v>
      </c>
      <c r="B225" s="4" t="s">
        <v>611</v>
      </c>
      <c r="C225" s="5" t="s">
        <v>244</v>
      </c>
      <c r="F225" s="4">
        <v>880</v>
      </c>
      <c r="G225" s="4" t="s">
        <v>512</v>
      </c>
    </row>
    <row r="226" spans="1:7" ht="12.75" customHeight="1">
      <c r="A226" s="4" t="s">
        <v>261</v>
      </c>
      <c r="B226" s="4" t="s">
        <v>414</v>
      </c>
      <c r="C226" s="5" t="s">
        <v>260</v>
      </c>
      <c r="F226" s="4">
        <v>890</v>
      </c>
      <c r="G226" s="4" t="s">
        <v>512</v>
      </c>
    </row>
    <row r="227" spans="1:7" ht="12.75" customHeight="1">
      <c r="A227" s="4" t="s">
        <v>234</v>
      </c>
      <c r="B227" s="4" t="s">
        <v>611</v>
      </c>
      <c r="C227" s="5">
        <v>9781597167444</v>
      </c>
      <c r="F227" s="4">
        <v>890</v>
      </c>
      <c r="G227" s="4" t="s">
        <v>34</v>
      </c>
    </row>
    <row r="228" spans="1:7" ht="12.75" customHeight="1">
      <c r="A228" s="4" t="s">
        <v>376</v>
      </c>
      <c r="B228" s="4" t="s">
        <v>180</v>
      </c>
      <c r="C228" s="5" t="s">
        <v>305</v>
      </c>
      <c r="F228" s="4">
        <v>890</v>
      </c>
      <c r="G228" s="4" t="s">
        <v>512</v>
      </c>
    </row>
    <row r="229" spans="1:7" ht="12.75" customHeight="1">
      <c r="A229" s="4" t="s">
        <v>584</v>
      </c>
      <c r="B229" s="4" t="s">
        <v>173</v>
      </c>
      <c r="C229" s="5">
        <v>9781597167666</v>
      </c>
      <c r="F229" s="4">
        <v>900</v>
      </c>
      <c r="G229" s="4" t="s">
        <v>34</v>
      </c>
    </row>
    <row r="230" spans="1:7" ht="12.75" customHeight="1">
      <c r="A230" s="4" t="s">
        <v>97</v>
      </c>
      <c r="B230" s="4" t="s">
        <v>525</v>
      </c>
      <c r="C230" s="5" t="s">
        <v>559</v>
      </c>
      <c r="F230" s="4">
        <v>900</v>
      </c>
      <c r="G230" s="4" t="s">
        <v>512</v>
      </c>
    </row>
    <row r="231" spans="1:7" ht="12.75" customHeight="1">
      <c r="A231" s="4" t="s">
        <v>480</v>
      </c>
      <c r="B231" s="4" t="s">
        <v>653</v>
      </c>
      <c r="C231" s="5" t="s">
        <v>345</v>
      </c>
      <c r="F231" s="6">
        <v>900</v>
      </c>
      <c r="G231" s="4" t="s">
        <v>34</v>
      </c>
    </row>
    <row r="232" spans="1:7" ht="12.75" customHeight="1">
      <c r="A232" s="4" t="s">
        <v>443</v>
      </c>
      <c r="B232" s="4" t="s">
        <v>280</v>
      </c>
      <c r="C232" s="5" t="s">
        <v>30</v>
      </c>
      <c r="F232" s="4">
        <v>900</v>
      </c>
      <c r="G232" s="4" t="s">
        <v>512</v>
      </c>
    </row>
    <row r="233" spans="1:7" ht="12.75" customHeight="1">
      <c r="A233" s="4" t="s">
        <v>520</v>
      </c>
      <c r="B233" s="4" t="s">
        <v>224</v>
      </c>
      <c r="C233" s="5">
        <v>9781597168694</v>
      </c>
      <c r="F233" s="4">
        <v>900</v>
      </c>
      <c r="G233" s="4" t="s">
        <v>34</v>
      </c>
    </row>
    <row r="234" spans="1:7" ht="12.75" customHeight="1">
      <c r="A234" s="4" t="s">
        <v>121</v>
      </c>
      <c r="B234" s="4" t="s">
        <v>120</v>
      </c>
      <c r="C234" s="5" t="s">
        <v>669</v>
      </c>
      <c r="F234" s="4">
        <v>900</v>
      </c>
      <c r="G234" s="4" t="s">
        <v>512</v>
      </c>
    </row>
    <row r="235" spans="1:7" ht="12.75" customHeight="1">
      <c r="A235" s="4" t="s">
        <v>141</v>
      </c>
      <c r="B235" s="4" t="s">
        <v>611</v>
      </c>
      <c r="C235" s="5" t="s">
        <v>254</v>
      </c>
      <c r="F235" s="4">
        <v>910</v>
      </c>
      <c r="G235" s="4" t="s">
        <v>512</v>
      </c>
    </row>
    <row r="236" spans="1:7" ht="12.75" customHeight="1">
      <c r="A236" s="4" t="s">
        <v>0</v>
      </c>
      <c r="B236" s="4" t="s">
        <v>280</v>
      </c>
      <c r="C236" s="5" t="s">
        <v>7</v>
      </c>
      <c r="F236" s="4">
        <v>910</v>
      </c>
      <c r="G236" s="4" t="s">
        <v>512</v>
      </c>
    </row>
    <row r="237" spans="1:7" ht="12.75" customHeight="1">
      <c r="A237" s="4" t="s">
        <v>287</v>
      </c>
      <c r="B237" s="4" t="s">
        <v>215</v>
      </c>
      <c r="C237" s="5" t="s">
        <v>352</v>
      </c>
      <c r="F237" s="4">
        <v>910</v>
      </c>
      <c r="G237" s="4" t="s">
        <v>512</v>
      </c>
    </row>
    <row r="238" spans="1:7" ht="12.75" customHeight="1">
      <c r="A238" s="4" t="s">
        <v>649</v>
      </c>
      <c r="B238" s="4" t="s">
        <v>525</v>
      </c>
      <c r="C238" s="5" t="s">
        <v>179</v>
      </c>
      <c r="F238" s="4">
        <v>910</v>
      </c>
      <c r="G238" s="4" t="s">
        <v>512</v>
      </c>
    </row>
    <row r="239" spans="1:7" ht="12.75" customHeight="1">
      <c r="A239" s="4" t="s">
        <v>174</v>
      </c>
      <c r="B239" s="4" t="s">
        <v>176</v>
      </c>
      <c r="C239" s="5" t="s">
        <v>385</v>
      </c>
      <c r="F239" s="4">
        <v>910</v>
      </c>
      <c r="G239" s="4" t="s">
        <v>512</v>
      </c>
    </row>
    <row r="240" spans="1:7" ht="12.75" customHeight="1">
      <c r="A240" s="4" t="s">
        <v>597</v>
      </c>
      <c r="B240" s="4" t="s">
        <v>10</v>
      </c>
      <c r="C240" s="5" t="s">
        <v>633</v>
      </c>
      <c r="F240" s="4">
        <v>920</v>
      </c>
      <c r="G240" s="4" t="s">
        <v>512</v>
      </c>
    </row>
    <row r="241" spans="1:7" ht="12.75" customHeight="1">
      <c r="A241" s="4" t="s">
        <v>272</v>
      </c>
      <c r="B241" s="4" t="s">
        <v>280</v>
      </c>
      <c r="C241" s="5" t="s">
        <v>519</v>
      </c>
      <c r="F241" s="4">
        <v>920</v>
      </c>
      <c r="G241" s="4" t="s">
        <v>512</v>
      </c>
    </row>
    <row r="242" spans="1:7" ht="12.75" customHeight="1">
      <c r="A242" s="4" t="s">
        <v>17</v>
      </c>
      <c r="B242" s="4" t="s">
        <v>543</v>
      </c>
      <c r="C242" s="5" t="s">
        <v>237</v>
      </c>
      <c r="F242" s="4">
        <v>920</v>
      </c>
      <c r="G242" s="4" t="s">
        <v>512</v>
      </c>
    </row>
    <row r="243" spans="1:7" ht="12.75" customHeight="1">
      <c r="A243" s="4" t="s">
        <v>413</v>
      </c>
      <c r="B243" s="4" t="s">
        <v>534</v>
      </c>
      <c r="C243" s="5" t="s">
        <v>334</v>
      </c>
      <c r="F243" s="4">
        <v>920</v>
      </c>
      <c r="G243" s="4" t="s">
        <v>512</v>
      </c>
    </row>
    <row r="244" spans="1:7" ht="12.75" customHeight="1">
      <c r="A244" s="4" t="s">
        <v>433</v>
      </c>
      <c r="B244" s="4" t="s">
        <v>423</v>
      </c>
      <c r="C244" s="5" t="s">
        <v>249</v>
      </c>
      <c r="F244" s="4">
        <v>920</v>
      </c>
      <c r="G244" s="4" t="s">
        <v>512</v>
      </c>
    </row>
    <row r="245" spans="1:7" ht="12.75" customHeight="1">
      <c r="A245" s="4" t="s">
        <v>453</v>
      </c>
      <c r="B245" s="4" t="s">
        <v>423</v>
      </c>
      <c r="C245" s="5" t="s">
        <v>283</v>
      </c>
      <c r="F245" s="4">
        <v>920</v>
      </c>
      <c r="G245" s="4" t="s">
        <v>512</v>
      </c>
    </row>
    <row r="246" spans="1:7" ht="12.75" customHeight="1">
      <c r="A246" s="4" t="s">
        <v>494</v>
      </c>
      <c r="B246" s="4" t="s">
        <v>112</v>
      </c>
      <c r="C246" s="5">
        <v>9781597168717</v>
      </c>
      <c r="F246" s="4">
        <v>920</v>
      </c>
      <c r="G246" s="4" t="s">
        <v>34</v>
      </c>
    </row>
    <row r="247" spans="1:7" ht="12.75" customHeight="1">
      <c r="A247" s="4" t="s">
        <v>104</v>
      </c>
      <c r="B247" s="4" t="s">
        <v>112</v>
      </c>
      <c r="C247" s="5">
        <v>9781597168670</v>
      </c>
      <c r="F247" s="4">
        <v>920</v>
      </c>
      <c r="G247" s="4" t="s">
        <v>34</v>
      </c>
    </row>
    <row r="248" spans="1:7" ht="12.75" customHeight="1">
      <c r="A248" s="4" t="s">
        <v>156</v>
      </c>
      <c r="B248" s="4" t="s">
        <v>161</v>
      </c>
      <c r="C248" s="5">
        <v>9781597167468</v>
      </c>
      <c r="F248" s="4">
        <v>920</v>
      </c>
      <c r="G248" s="4" t="s">
        <v>34</v>
      </c>
    </row>
    <row r="249" spans="1:7" ht="12.75" customHeight="1">
      <c r="A249" s="4" t="s">
        <v>355</v>
      </c>
      <c r="B249" s="4" t="s">
        <v>380</v>
      </c>
      <c r="C249" s="5">
        <v>9781597167635</v>
      </c>
      <c r="F249" s="4">
        <v>930</v>
      </c>
      <c r="G249" s="4" t="s">
        <v>34</v>
      </c>
    </row>
    <row r="250" spans="1:7" ht="12.75" customHeight="1">
      <c r="A250" s="4" t="s">
        <v>438</v>
      </c>
      <c r="B250" s="4" t="s">
        <v>525</v>
      </c>
      <c r="C250" s="5" t="s">
        <v>18</v>
      </c>
      <c r="F250" s="4">
        <v>930</v>
      </c>
      <c r="G250" s="4" t="s">
        <v>512</v>
      </c>
    </row>
    <row r="251" spans="1:7" ht="12.75" customHeight="1">
      <c r="A251" s="4" t="s">
        <v>384</v>
      </c>
      <c r="B251" s="4" t="s">
        <v>46</v>
      </c>
      <c r="C251" s="5">
        <v>9781597167475</v>
      </c>
      <c r="F251" s="4">
        <v>940</v>
      </c>
      <c r="G251" s="4" t="s">
        <v>34</v>
      </c>
    </row>
    <row r="252" spans="1:7" ht="12.75" customHeight="1">
      <c r="A252" s="4" t="s">
        <v>6</v>
      </c>
      <c r="B252" s="4" t="s">
        <v>611</v>
      </c>
      <c r="C252" s="5" t="s">
        <v>265</v>
      </c>
      <c r="F252" s="4">
        <v>950</v>
      </c>
      <c r="G252" s="4" t="s">
        <v>512</v>
      </c>
    </row>
    <row r="253" spans="1:7" ht="12.75" customHeight="1">
      <c r="A253" s="4" t="s">
        <v>510</v>
      </c>
      <c r="B253" s="4" t="s">
        <v>360</v>
      </c>
      <c r="C253" s="5" t="s">
        <v>96</v>
      </c>
      <c r="F253" s="4">
        <v>950</v>
      </c>
      <c r="G253" s="4" t="s">
        <v>512</v>
      </c>
    </row>
    <row r="254" spans="1:7" ht="12.75" customHeight="1">
      <c r="A254" s="4" t="s">
        <v>405</v>
      </c>
      <c r="B254" s="4" t="s">
        <v>627</v>
      </c>
      <c r="C254" s="5">
        <v>9781597168724</v>
      </c>
      <c r="F254" s="4">
        <v>960</v>
      </c>
      <c r="G254" s="4" t="s">
        <v>34</v>
      </c>
    </row>
    <row r="255" spans="1:7" ht="12.75" customHeight="1">
      <c r="A255" s="4" t="s">
        <v>656</v>
      </c>
      <c r="B255" s="4" t="s">
        <v>380</v>
      </c>
      <c r="C255" s="5">
        <v>9781597167659</v>
      </c>
      <c r="F255" s="4">
        <v>970</v>
      </c>
      <c r="G255" s="4" t="s">
        <v>34</v>
      </c>
    </row>
    <row r="256" spans="1:7" ht="12.75" customHeight="1">
      <c r="A256" s="4" t="s">
        <v>399</v>
      </c>
      <c r="B256" s="4" t="s">
        <v>638</v>
      </c>
      <c r="C256" s="5" t="s">
        <v>337</v>
      </c>
      <c r="F256" s="4">
        <v>970</v>
      </c>
      <c r="G256" s="4" t="s">
        <v>512</v>
      </c>
    </row>
    <row r="257" spans="1:7" ht="12.75" customHeight="1">
      <c r="A257" s="4" t="s">
        <v>49</v>
      </c>
      <c r="B257" s="4" t="s">
        <v>8</v>
      </c>
      <c r="C257" s="5">
        <v>9781597168687</v>
      </c>
      <c r="F257" s="4">
        <v>970</v>
      </c>
      <c r="G257" s="4" t="s">
        <v>34</v>
      </c>
    </row>
    <row r="258" spans="1:7" ht="12.75" customHeight="1">
      <c r="A258" s="4" t="s">
        <v>40</v>
      </c>
      <c r="B258" s="4" t="s">
        <v>525</v>
      </c>
      <c r="C258" s="5" t="s">
        <v>394</v>
      </c>
      <c r="F258" s="4">
        <v>980</v>
      </c>
      <c r="G258" s="4" t="s">
        <v>512</v>
      </c>
    </row>
    <row r="259" spans="1:7" ht="12.75" customHeight="1">
      <c r="A259" s="4" t="s">
        <v>535</v>
      </c>
      <c r="B259" s="4" t="s">
        <v>280</v>
      </c>
      <c r="C259" s="5" t="s">
        <v>497</v>
      </c>
      <c r="F259" s="4">
        <v>980</v>
      </c>
      <c r="G259" s="4" t="s">
        <v>512</v>
      </c>
    </row>
    <row r="260" spans="1:7" ht="12.75" customHeight="1">
      <c r="A260" s="4" t="s">
        <v>302</v>
      </c>
      <c r="B260" s="4" t="s">
        <v>587</v>
      </c>
      <c r="C260" s="5" t="s">
        <v>605</v>
      </c>
      <c r="F260" s="4">
        <v>980</v>
      </c>
      <c r="G260" s="4" t="s">
        <v>512</v>
      </c>
    </row>
    <row r="261" spans="1:7" ht="12.75" customHeight="1">
      <c r="A261" s="4" t="s">
        <v>563</v>
      </c>
      <c r="B261" s="4" t="s">
        <v>525</v>
      </c>
      <c r="C261" s="5" t="s">
        <v>33</v>
      </c>
      <c r="F261" s="4">
        <v>1000</v>
      </c>
      <c r="G261" s="4" t="s">
        <v>512</v>
      </c>
    </row>
    <row r="262" spans="1:7" ht="12.75" customHeight="1">
      <c r="A262" s="4" t="s">
        <v>73</v>
      </c>
      <c r="B262" s="4" t="s">
        <v>530</v>
      </c>
      <c r="C262" s="5" t="s">
        <v>462</v>
      </c>
      <c r="F262" s="4">
        <v>1010</v>
      </c>
      <c r="G262" s="4" t="s">
        <v>512</v>
      </c>
    </row>
    <row r="263" spans="1:7" ht="12.75" customHeight="1">
      <c r="A263" s="4" t="s">
        <v>315</v>
      </c>
      <c r="B263" s="4" t="s">
        <v>175</v>
      </c>
      <c r="C263" s="5" t="s">
        <v>218</v>
      </c>
      <c r="F263" s="4">
        <v>1030</v>
      </c>
      <c r="G263" s="4" t="s">
        <v>512</v>
      </c>
    </row>
    <row r="264" spans="1:7" ht="12.75" customHeight="1">
      <c r="A264" s="4" t="s">
        <v>658</v>
      </c>
      <c r="B264" s="4" t="s">
        <v>282</v>
      </c>
      <c r="C264" s="5">
        <v>9780385495226</v>
      </c>
      <c r="F264" s="4">
        <v>1030</v>
      </c>
      <c r="G264" s="4" t="s">
        <v>512</v>
      </c>
    </row>
    <row r="265" spans="1:7" ht="12.75" customHeight="1">
      <c r="A265" s="4" t="s">
        <v>150</v>
      </c>
      <c r="B265" s="4" t="s">
        <v>326</v>
      </c>
      <c r="C265" s="5" t="s">
        <v>628</v>
      </c>
      <c r="F265" s="4">
        <v>1040</v>
      </c>
      <c r="G265" s="4" t="s">
        <v>512</v>
      </c>
    </row>
    <row r="266" spans="1:7" ht="12.75" customHeight="1">
      <c r="A266" s="4" t="s">
        <v>406</v>
      </c>
      <c r="B266" s="4" t="s">
        <v>148</v>
      </c>
      <c r="C266" s="5" t="s">
        <v>125</v>
      </c>
      <c r="F266" s="4">
        <v>1060</v>
      </c>
      <c r="G266" s="4" t="s">
        <v>512</v>
      </c>
    </row>
    <row r="267" spans="1:7" ht="12.75" customHeight="1">
      <c r="A267" s="4" t="s">
        <v>317</v>
      </c>
      <c r="B267" s="4" t="s">
        <v>432</v>
      </c>
      <c r="C267" s="5" t="s">
        <v>204</v>
      </c>
      <c r="F267" s="4">
        <v>1070</v>
      </c>
      <c r="G267" s="4" t="s">
        <v>512</v>
      </c>
    </row>
    <row r="268" spans="1:7" ht="12.75" customHeight="1">
      <c r="A268" s="4" t="s">
        <v>246</v>
      </c>
      <c r="B268" s="4" t="s">
        <v>15</v>
      </c>
      <c r="C268" s="5" t="s">
        <v>262</v>
      </c>
      <c r="F268" s="4">
        <v>1070</v>
      </c>
      <c r="G268" s="4" t="s">
        <v>512</v>
      </c>
    </row>
    <row r="269" spans="1:7" ht="12.75" customHeight="1">
      <c r="A269" s="4" t="s">
        <v>604</v>
      </c>
      <c r="B269" s="4" t="s">
        <v>393</v>
      </c>
      <c r="C269" s="5" t="s">
        <v>513</v>
      </c>
      <c r="F269" s="4">
        <v>1100</v>
      </c>
      <c r="G269" s="4" t="s">
        <v>512</v>
      </c>
    </row>
    <row r="270" spans="1:7" ht="12.75" customHeight="1">
      <c r="A270" s="4" t="s">
        <v>386</v>
      </c>
      <c r="B270" s="4" t="s">
        <v>3</v>
      </c>
      <c r="C270" s="5" t="s">
        <v>138</v>
      </c>
      <c r="F270" s="4">
        <v>1100</v>
      </c>
      <c r="G270" s="4" t="s">
        <v>512</v>
      </c>
    </row>
    <row r="271" spans="1:7" ht="12.75" customHeight="1">
      <c r="A271" s="4" t="s">
        <v>499</v>
      </c>
      <c r="B271" s="4" t="s">
        <v>148</v>
      </c>
      <c r="C271" s="5">
        <v>9780618432431</v>
      </c>
      <c r="F271" s="4">
        <v>1150</v>
      </c>
      <c r="G271" s="4" t="s">
        <v>441</v>
      </c>
    </row>
    <row r="272" spans="1:7" ht="12.75" customHeight="1">
      <c r="A272" s="4" t="s">
        <v>555</v>
      </c>
      <c r="B272" s="4" t="s">
        <v>508</v>
      </c>
      <c r="C272" s="5" t="s">
        <v>615</v>
      </c>
      <c r="F272" s="4">
        <v>1160</v>
      </c>
      <c r="G272" s="4" t="s">
        <v>512</v>
      </c>
    </row>
    <row r="273" spans="1:7" ht="12.75" customHeight="1">
      <c r="A273" s="4" t="s">
        <v>556</v>
      </c>
      <c r="B273" s="4" t="s">
        <v>148</v>
      </c>
      <c r="C273" s="5" t="s">
        <v>242</v>
      </c>
      <c r="F273" s="4">
        <v>1160</v>
      </c>
      <c r="G273" s="4" t="s">
        <v>512</v>
      </c>
    </row>
    <row r="274" spans="1:7" ht="12.75" customHeight="1">
      <c r="A274" s="4" t="s">
        <v>407</v>
      </c>
      <c r="B274" s="4" t="s">
        <v>148</v>
      </c>
      <c r="C274" s="5" t="s">
        <v>557</v>
      </c>
      <c r="F274" s="4">
        <v>1180</v>
      </c>
      <c r="G274" s="4" t="s">
        <v>512</v>
      </c>
    </row>
    <row r="275" spans="1:7" ht="12.75" customHeight="1">
      <c r="A275" s="4" t="s">
        <v>71</v>
      </c>
      <c r="B275" s="4" t="s">
        <v>664</v>
      </c>
      <c r="C275" s="5">
        <v>9780395967881</v>
      </c>
      <c r="F275" s="4">
        <v>1180</v>
      </c>
      <c r="G275" s="4" t="s">
        <v>512</v>
      </c>
    </row>
    <row r="276" spans="1:7" ht="12.75" customHeight="1">
      <c r="A276" s="4" t="s">
        <v>561</v>
      </c>
      <c r="B276" s="4" t="s">
        <v>137</v>
      </c>
      <c r="C276" s="5" t="s">
        <v>320</v>
      </c>
      <c r="F276" s="4">
        <v>1200</v>
      </c>
      <c r="G276" s="4" t="s">
        <v>441</v>
      </c>
    </row>
    <row r="277" spans="1:7" ht="12.75" customHeight="1">
      <c r="A277" s="4" t="s">
        <v>325</v>
      </c>
      <c r="B277" s="4" t="s">
        <v>151</v>
      </c>
      <c r="C277" s="5">
        <v>9780547328607</v>
      </c>
      <c r="F277" s="4">
        <v>1200</v>
      </c>
      <c r="G277" s="4" t="s">
        <v>441</v>
      </c>
    </row>
    <row r="278" spans="1:7" ht="12.75" customHeight="1">
      <c r="A278" s="4" t="s">
        <v>255</v>
      </c>
      <c r="B278" s="4" t="s">
        <v>15</v>
      </c>
      <c r="C278" s="5" t="s">
        <v>552</v>
      </c>
      <c r="F278" s="4">
        <v>1240</v>
      </c>
      <c r="G278" s="4" t="s">
        <v>512</v>
      </c>
    </row>
    <row r="279" spans="1:7" ht="12.75" customHeight="1">
      <c r="A279" s="4" t="s">
        <v>470</v>
      </c>
      <c r="B279" s="4" t="s">
        <v>374</v>
      </c>
      <c r="C279" s="5" t="s">
        <v>228</v>
      </c>
      <c r="F279" s="4">
        <v>1270</v>
      </c>
      <c r="G279" s="4" t="s">
        <v>512</v>
      </c>
    </row>
    <row r="280" spans="1:7" ht="12.75" customHeight="1">
      <c r="A280" s="4" t="s">
        <v>437</v>
      </c>
      <c r="B280" s="4" t="s">
        <v>572</v>
      </c>
      <c r="C280" s="5" t="s">
        <v>192</v>
      </c>
      <c r="F280" s="4">
        <v>1300</v>
      </c>
      <c r="G280" s="4" t="s">
        <v>512</v>
      </c>
    </row>
    <row r="281" spans="1:7" ht="12.75" customHeight="1">
      <c r="A281" s="4" t="s">
        <v>574</v>
      </c>
      <c r="B281" s="4" t="s">
        <v>664</v>
      </c>
      <c r="C281" s="5" t="s">
        <v>94</v>
      </c>
      <c r="F281" s="4">
        <v>1310</v>
      </c>
      <c r="G281" s="4" t="s">
        <v>512</v>
      </c>
    </row>
    <row r="282" spans="1:7" ht="12.75" customHeight="1">
      <c r="A282" s="4" t="s">
        <v>579</v>
      </c>
      <c r="B282" s="4" t="s">
        <v>374</v>
      </c>
      <c r="C282" s="5" t="s">
        <v>111</v>
      </c>
      <c r="F282" s="4">
        <v>1320</v>
      </c>
      <c r="G282" s="4" t="s">
        <v>512</v>
      </c>
    </row>
    <row r="283" spans="1:7" ht="12.75" customHeight="1">
      <c r="A283" s="4" t="s">
        <v>324</v>
      </c>
      <c r="B283" s="4" t="s">
        <v>236</v>
      </c>
      <c r="C283" s="5" t="s">
        <v>149</v>
      </c>
      <c r="F283" s="4">
        <v>1340</v>
      </c>
      <c r="G283" s="4" t="s">
        <v>512</v>
      </c>
    </row>
    <row r="284" spans="1:4" ht="12.75" customHeight="1">
      <c r="A284" s="4" t="s">
        <v>362</v>
      </c>
      <c r="B284" s="4" t="s">
        <v>44</v>
      </c>
      <c r="C284" s="5">
        <v>9780547076362</v>
      </c>
      <c r="D284" s="4" t="s">
        <v>252</v>
      </c>
    </row>
    <row r="285" spans="1:4" ht="12.75" customHeight="1">
      <c r="A285" s="4" t="s">
        <v>469</v>
      </c>
      <c r="B285" s="4" t="s">
        <v>650</v>
      </c>
      <c r="C285" s="5">
        <v>9780670062720</v>
      </c>
      <c r="D285" s="4" t="s">
        <v>252</v>
      </c>
    </row>
    <row r="286" spans="1:4" ht="12.75" customHeight="1">
      <c r="A286" s="4" t="s">
        <v>636</v>
      </c>
      <c r="B286" s="4" t="s">
        <v>144</v>
      </c>
      <c r="C286" s="5">
        <v>9780792255437</v>
      </c>
      <c r="D286" s="4" t="s">
        <v>252</v>
      </c>
    </row>
    <row r="287" spans="1:4" ht="12.75" customHeight="1">
      <c r="A287" s="4" t="s">
        <v>488</v>
      </c>
      <c r="B287" s="4" t="s">
        <v>280</v>
      </c>
      <c r="C287" s="5">
        <v>9781597161657</v>
      </c>
      <c r="D287" s="4" t="s">
        <v>252</v>
      </c>
    </row>
    <row r="288" spans="1:4" ht="12.75" customHeight="1">
      <c r="A288" s="4" t="s">
        <v>253</v>
      </c>
      <c r="B288" s="4" t="s">
        <v>82</v>
      </c>
      <c r="C288" s="5">
        <v>9780802853196</v>
      </c>
      <c r="D288" s="4" t="s">
        <v>252</v>
      </c>
    </row>
    <row r="289" spans="1:4" ht="12.75" customHeight="1">
      <c r="A289" s="4" t="s">
        <v>562</v>
      </c>
      <c r="B289" s="4" t="s">
        <v>155</v>
      </c>
      <c r="C289" s="5">
        <v>9780823943579</v>
      </c>
      <c r="D289" s="4" t="s">
        <v>252</v>
      </c>
    </row>
    <row r="290" spans="1:4" ht="12.75" customHeight="1">
      <c r="A290" s="4" t="s">
        <v>571</v>
      </c>
      <c r="B290" s="4" t="s">
        <v>280</v>
      </c>
      <c r="C290" s="5">
        <v>9781597160858</v>
      </c>
      <c r="D290" s="4" t="s">
        <v>252</v>
      </c>
    </row>
    <row r="291" spans="1:4" ht="12.75" customHeight="1">
      <c r="A291" s="4" t="s">
        <v>131</v>
      </c>
      <c r="B291" s="4" t="s">
        <v>280</v>
      </c>
      <c r="C291" s="5">
        <v>9781597161688</v>
      </c>
      <c r="D291" s="4" t="s">
        <v>252</v>
      </c>
    </row>
    <row r="292" spans="1:4" ht="12.75" customHeight="1">
      <c r="A292" s="4" t="s">
        <v>585</v>
      </c>
      <c r="B292" s="4" t="s">
        <v>193</v>
      </c>
      <c r="C292" s="5">
        <v>9780618494170</v>
      </c>
      <c r="D292" s="4" t="s">
        <v>252</v>
      </c>
    </row>
    <row r="293" spans="1:4" ht="12.75" customHeight="1">
      <c r="A293" s="4" t="s">
        <v>216</v>
      </c>
      <c r="B293" s="4" t="s">
        <v>9</v>
      </c>
      <c r="C293" s="5">
        <v>9780823943302</v>
      </c>
      <c r="D293" s="4" t="s">
        <v>252</v>
      </c>
    </row>
    <row r="294" spans="1:4" ht="12.75" customHeight="1">
      <c r="A294" s="4" t="s">
        <v>466</v>
      </c>
      <c r="B294" s="4" t="s">
        <v>78</v>
      </c>
      <c r="C294" s="5">
        <v>9780152054953</v>
      </c>
      <c r="D294" s="4" t="s">
        <v>252</v>
      </c>
    </row>
    <row r="295" spans="1:4" ht="12.75" customHeight="1">
      <c r="A295" s="4" t="s">
        <v>411</v>
      </c>
      <c r="B295" s="4" t="s">
        <v>280</v>
      </c>
      <c r="C295" s="5">
        <v>9781597160865</v>
      </c>
      <c r="D295" s="4" t="s">
        <v>252</v>
      </c>
    </row>
    <row r="296" spans="1:4" ht="12.75" customHeight="1">
      <c r="A296" s="4" t="s">
        <v>220</v>
      </c>
      <c r="B296" s="4" t="s">
        <v>280</v>
      </c>
      <c r="C296" s="5">
        <v>9781597160872</v>
      </c>
      <c r="D296" s="4" t="s">
        <v>252</v>
      </c>
    </row>
    <row r="297" spans="1:4" ht="12.75" customHeight="1">
      <c r="A297" s="4" t="s">
        <v>99</v>
      </c>
      <c r="B297" s="4" t="s">
        <v>328</v>
      </c>
      <c r="C297" s="5">
        <v>9780823943487</v>
      </c>
      <c r="D297" s="4" t="s">
        <v>252</v>
      </c>
    </row>
    <row r="298" spans="1:4" ht="12.75" customHeight="1">
      <c r="A298" s="4" t="s">
        <v>468</v>
      </c>
      <c r="B298" s="4" t="s">
        <v>39</v>
      </c>
      <c r="C298" s="5">
        <v>9780618494781</v>
      </c>
      <c r="D298" s="4" t="s">
        <v>252</v>
      </c>
    </row>
    <row r="299" spans="1:4" ht="12.75" customHeight="1">
      <c r="A299" s="4" t="s">
        <v>124</v>
      </c>
      <c r="B299" s="4" t="s">
        <v>321</v>
      </c>
      <c r="C299" s="5">
        <v>9781597160889</v>
      </c>
      <c r="D299" s="4" t="s">
        <v>252</v>
      </c>
    </row>
    <row r="300" spans="1:4" ht="12.75" customHeight="1">
      <c r="A300" s="4" t="s">
        <v>665</v>
      </c>
      <c r="B300" s="4" t="s">
        <v>360</v>
      </c>
      <c r="C300" s="5">
        <v>9780547207131</v>
      </c>
      <c r="D300" s="4" t="s">
        <v>252</v>
      </c>
    </row>
    <row r="301" spans="1:4" ht="12.75" customHeight="1">
      <c r="A301" s="4" t="s">
        <v>431</v>
      </c>
      <c r="B301" s="4" t="s">
        <v>280</v>
      </c>
      <c r="C301" s="5">
        <v>9781597160896</v>
      </c>
      <c r="D301" s="4" t="s">
        <v>252</v>
      </c>
    </row>
    <row r="302" spans="1:4" ht="12.75" customHeight="1">
      <c r="A302" s="4" t="s">
        <v>181</v>
      </c>
      <c r="B302" s="4" t="s">
        <v>675</v>
      </c>
      <c r="C302" s="5">
        <v>9780446693219</v>
      </c>
      <c r="D302" s="4" t="s">
        <v>252</v>
      </c>
    </row>
    <row r="303" spans="1:4" ht="12.75" customHeight="1">
      <c r="A303" s="4" t="s">
        <v>427</v>
      </c>
      <c r="B303" s="4" t="s">
        <v>608</v>
      </c>
      <c r="C303" s="5">
        <v>9781550378528</v>
      </c>
      <c r="D303" s="4" t="s">
        <v>252</v>
      </c>
    </row>
    <row r="304" spans="1:4" ht="12.75" customHeight="1">
      <c r="A304" s="4" t="s">
        <v>206</v>
      </c>
      <c r="B304" s="4" t="s">
        <v>280</v>
      </c>
      <c r="C304" s="5">
        <v>9781597161695</v>
      </c>
      <c r="D304" s="4" t="s">
        <v>252</v>
      </c>
    </row>
    <row r="305" spans="1:4" ht="12.75" customHeight="1">
      <c r="A305" s="4" t="s">
        <v>251</v>
      </c>
      <c r="B305" s="4" t="s">
        <v>212</v>
      </c>
      <c r="C305" s="5" t="s">
        <v>477</v>
      </c>
      <c r="D305" s="4" t="s">
        <v>252</v>
      </c>
    </row>
    <row r="306" spans="1:4" ht="12.75" customHeight="1">
      <c r="A306" s="4" t="s">
        <v>366</v>
      </c>
      <c r="B306" s="4" t="s">
        <v>170</v>
      </c>
      <c r="C306" s="5">
        <v>9781597160902</v>
      </c>
      <c r="D306" s="4" t="s">
        <v>252</v>
      </c>
    </row>
    <row r="307" spans="1:4" ht="12.75" customHeight="1">
      <c r="A307" s="4" t="s">
        <v>521</v>
      </c>
      <c r="B307" s="4" t="s">
        <v>496</v>
      </c>
      <c r="C307" s="5">
        <v>9780547152318</v>
      </c>
      <c r="D307" s="4" t="s">
        <v>252</v>
      </c>
    </row>
    <row r="308" spans="1:4" ht="12.75" customHeight="1">
      <c r="A308" s="4" t="s">
        <v>418</v>
      </c>
      <c r="B308" s="4" t="s">
        <v>9</v>
      </c>
      <c r="C308" s="5" t="s">
        <v>544</v>
      </c>
      <c r="D308" s="4" t="s">
        <v>252</v>
      </c>
    </row>
    <row r="309" spans="1:4" ht="12.75" customHeight="1">
      <c r="A309" s="4" t="s">
        <v>358</v>
      </c>
      <c r="B309" s="4" t="s">
        <v>490</v>
      </c>
      <c r="C309" s="5">
        <v>9780393337013</v>
      </c>
      <c r="D309" s="4" t="s">
        <v>252</v>
      </c>
    </row>
    <row r="310" spans="1:4" ht="12.75" customHeight="1">
      <c r="A310" s="4" t="s">
        <v>479</v>
      </c>
      <c r="B310" s="4" t="s">
        <v>8</v>
      </c>
      <c r="C310" s="5">
        <v>9781597168700</v>
      </c>
      <c r="D310" s="4" t="s">
        <v>252</v>
      </c>
    </row>
    <row r="311" spans="1:4" ht="12.75" customHeight="1">
      <c r="A311" s="4" t="s">
        <v>473</v>
      </c>
      <c r="B311" s="4" t="s">
        <v>625</v>
      </c>
      <c r="C311" s="5" t="s">
        <v>159</v>
      </c>
      <c r="D311" s="4" t="s">
        <v>252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6" width="17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256" ht="12.75" customHeight="1">
      <c r="A1" s="7" t="e">
        <f>IF(Sheet1!$A1:$A1,"Uat7PiYliAA=",0)</f>
        <v>#VALUE!</v>
      </c>
      <c r="B1" s="7" t="e">
        <f>AND(Sheet1!A1,"Uat7PiYliAE=")</f>
        <v>#VALUE!</v>
      </c>
      <c r="C1" s="7" t="e">
        <f>AND(Sheet1!B1,"Uat7PiYliAI=")</f>
        <v>#VALUE!</v>
      </c>
      <c r="D1" s="7" t="e">
        <f>AND(Sheet1!C1,"Uat7PiYliAM=")</f>
        <v>#VALUE!</v>
      </c>
      <c r="E1" s="7" t="e">
        <f>AND(Sheet1!D1,"Uat7PiYliAQ=")</f>
        <v>#VALUE!</v>
      </c>
      <c r="F1" s="8" t="e">
        <f>IF(Sheet1!$A2:$A2,"Uat7PiYliAU=",0)</f>
        <v>#VALUE!</v>
      </c>
      <c r="G1" s="7" t="e">
        <f>AND(Sheet1!A2,"Uat7PiYliAY=")</f>
        <v>#VALUE!</v>
      </c>
      <c r="H1" s="7" t="e">
        <f>AND(Sheet1!B2,"Uat7PiYliAc=")</f>
        <v>#VALUE!</v>
      </c>
      <c r="I1" s="7" t="e">
        <f>AND(Sheet1!C2,"Uat7PiYliAg=")</f>
        <v>#VALUE!</v>
      </c>
      <c r="J1" s="7" t="e">
        <f>AND(Sheet1!D2,"Uat7PiYliAk=")</f>
        <v>#VALUE!</v>
      </c>
      <c r="K1" s="8" t="e">
        <f>IF(Sheet1!$A4:$A4,"Uat7PiYliAo=",0)</f>
        <v>#VALUE!</v>
      </c>
      <c r="L1" s="7" t="e">
        <f>AND(Sheet1!A4,"Uat7PiYliAs=")</f>
        <v>#VALUE!</v>
      </c>
      <c r="M1" s="7" t="e">
        <f>AND(Sheet1!B4,"Uat7PiYliAw=")</f>
        <v>#VALUE!</v>
      </c>
      <c r="N1" s="7" t="e">
        <f>AND(Sheet1!C4,"Uat7PiYliA0=")</f>
        <v>#VALUE!</v>
      </c>
      <c r="O1" s="7" t="e">
        <f>AND(Sheet1!D4,"Uat7PiYliA4=")</f>
        <v>#VALUE!</v>
      </c>
      <c r="P1" s="8" t="e">
        <f>IF(Sheet1!$A5:$A5,"Uat7PiYliA8=",0)</f>
        <v>#VALUE!</v>
      </c>
      <c r="Q1" s="7" t="e">
        <f>AND(Sheet1!A5,"Uat7PiYliBA=")</f>
        <v>#VALUE!</v>
      </c>
      <c r="R1" s="7" t="e">
        <f>AND(Sheet1!B5,"Uat7PiYliBE=")</f>
        <v>#VALUE!</v>
      </c>
      <c r="S1" s="7" t="e">
        <f>AND(Sheet1!C5,"Uat7PiYliBI=")</f>
        <v>#VALUE!</v>
      </c>
      <c r="T1" s="7" t="e">
        <f>AND(Sheet1!D5,"Uat7PiYliBM=")</f>
        <v>#VALUE!</v>
      </c>
      <c r="U1" s="8" t="e">
        <f>IF(Sheet1!$A6:$A6,"Uat7PiYliBQ=",0)</f>
        <v>#VALUE!</v>
      </c>
      <c r="V1" s="7" t="e">
        <f>AND(Sheet1!A6,"Uat7PiYliBU=")</f>
        <v>#VALUE!</v>
      </c>
      <c r="W1" s="7" t="e">
        <f>AND(Sheet1!B6,"Uat7PiYliBY=")</f>
        <v>#VALUE!</v>
      </c>
      <c r="X1" s="7" t="e">
        <f>AND(Sheet1!C6,"Uat7PiYliBc=")</f>
        <v>#VALUE!</v>
      </c>
      <c r="Y1" s="7" t="e">
        <f>AND(Sheet1!D6,"Uat7PiYliBg=")</f>
        <v>#VALUE!</v>
      </c>
      <c r="Z1" s="8" t="e">
        <f>IF(Sheet1!$A7:$A7,"Uat7PiYliBk=",0)</f>
        <v>#VALUE!</v>
      </c>
      <c r="AA1" s="7" t="e">
        <f>AND(Sheet1!A7,"Uat7PiYliBo=")</f>
        <v>#VALUE!</v>
      </c>
      <c r="AB1" s="7" t="e">
        <f>AND(Sheet1!B7,"Uat7PiYliBs=")</f>
        <v>#VALUE!</v>
      </c>
      <c r="AC1" s="7" t="e">
        <f>AND(Sheet1!C7,"Uat7PiYliBw=")</f>
        <v>#VALUE!</v>
      </c>
      <c r="AD1" s="7" t="e">
        <f>AND(Sheet1!D7,"Uat7PiYliB0=")</f>
        <v>#VALUE!</v>
      </c>
      <c r="AE1" s="8" t="e">
        <f>IF(Sheet1!$A8:$A8,"Uat7PiYliB4=",0)</f>
        <v>#VALUE!</v>
      </c>
      <c r="AF1" s="7" t="e">
        <f>AND(Sheet1!A8,"Uat7PiYliB8=")</f>
        <v>#VALUE!</v>
      </c>
      <c r="AG1" s="7" t="e">
        <f>AND(Sheet1!B8,"Uat7PiYliCA=")</f>
        <v>#VALUE!</v>
      </c>
      <c r="AH1" s="7" t="e">
        <f>AND(Sheet1!C8,"Uat7PiYliCE=")</f>
        <v>#VALUE!</v>
      </c>
      <c r="AI1" s="7" t="e">
        <f>AND(Sheet1!D8,"Uat7PiYliCI=")</f>
        <v>#VALUE!</v>
      </c>
      <c r="AJ1" s="8" t="e">
        <f>IF(Sheet1!$A9:$A9,"Uat7PiYliCM=",0)</f>
        <v>#VALUE!</v>
      </c>
      <c r="AK1" s="7" t="e">
        <f>AND(Sheet1!A9,"Uat7PiYliCQ=")</f>
        <v>#VALUE!</v>
      </c>
      <c r="AL1" s="7" t="e">
        <f>AND(Sheet1!B9,"Uat7PiYliCU=")</f>
        <v>#VALUE!</v>
      </c>
      <c r="AM1" s="7" t="e">
        <f>AND(Sheet1!C9,"Uat7PiYliCY=")</f>
        <v>#VALUE!</v>
      </c>
      <c r="AN1" s="7" t="e">
        <f>AND(Sheet1!D9,"Uat7PiYliCc=")</f>
        <v>#VALUE!</v>
      </c>
      <c r="AO1" s="8" t="e">
        <f>IF(Sheet1!$A10:$A10,"Uat7PiYliCg=",0)</f>
        <v>#VALUE!</v>
      </c>
      <c r="AP1" s="7" t="e">
        <f>AND(Sheet1!A10,"Uat7PiYliCk=")</f>
        <v>#VALUE!</v>
      </c>
      <c r="AQ1" s="7" t="e">
        <f>AND(Sheet1!B10,"Uat7PiYliCo=")</f>
        <v>#VALUE!</v>
      </c>
      <c r="AR1" s="7" t="e">
        <f>AND(Sheet1!C10,"Uat7PiYliCs=")</f>
        <v>#VALUE!</v>
      </c>
      <c r="AS1" s="7" t="e">
        <f>AND(Sheet1!D10,"Uat7PiYliCw=")</f>
        <v>#VALUE!</v>
      </c>
      <c r="AT1" s="8" t="e">
        <f>IF(Sheet1!$A11:$A11,"Uat7PiYliC0=",0)</f>
        <v>#VALUE!</v>
      </c>
      <c r="AU1" s="7" t="e">
        <f>AND(Sheet1!A11,"Uat7PiYliC4=")</f>
        <v>#VALUE!</v>
      </c>
      <c r="AV1" s="7" t="e">
        <f>AND(Sheet1!B11,"Uat7PiYliC8=")</f>
        <v>#VALUE!</v>
      </c>
      <c r="AW1" s="7" t="e">
        <f>AND(Sheet1!C11,"Uat7PiYliDA=")</f>
        <v>#VALUE!</v>
      </c>
      <c r="AX1" s="7" t="e">
        <f>AND(Sheet1!D11,"Uat7PiYliDE=")</f>
        <v>#VALUE!</v>
      </c>
      <c r="AY1" s="8" t="e">
        <f>IF(Sheet1!$A12:$A12,"Uat7PiYliDI=",0)</f>
        <v>#VALUE!</v>
      </c>
      <c r="AZ1" s="7" t="e">
        <f>AND(Sheet1!A12,"Uat7PiYliDM=")</f>
        <v>#VALUE!</v>
      </c>
      <c r="BA1" s="7" t="e">
        <f>AND(Sheet1!B12,"Uat7PiYliDQ=")</f>
        <v>#VALUE!</v>
      </c>
      <c r="BB1" s="7" t="e">
        <f>AND(Sheet1!C12,"Uat7PiYliDU=")</f>
        <v>#VALUE!</v>
      </c>
      <c r="BC1" s="7" t="e">
        <f>AND(Sheet1!D12,"Uat7PiYliDY=")</f>
        <v>#VALUE!</v>
      </c>
      <c r="BD1" s="8" t="e">
        <f>IF(Sheet1!$A13:$A13,"Uat7PiYliDc=",0)</f>
        <v>#VALUE!</v>
      </c>
      <c r="BE1" s="7" t="e">
        <f>AND(Sheet1!A13,"Uat7PiYliDg=")</f>
        <v>#VALUE!</v>
      </c>
      <c r="BF1" s="7" t="e">
        <f>AND(Sheet1!B13,"Uat7PiYliDk=")</f>
        <v>#VALUE!</v>
      </c>
      <c r="BG1" s="7" t="e">
        <f>AND(Sheet1!C13,"Uat7PiYliDo=")</f>
        <v>#VALUE!</v>
      </c>
      <c r="BH1" s="7" t="e">
        <f>AND(Sheet1!D13,"Uat7PiYliDs=")</f>
        <v>#VALUE!</v>
      </c>
      <c r="BI1" s="8" t="e">
        <f>IF(Sheet1!$A14:$A14,"Uat7PiYliDw=",0)</f>
        <v>#VALUE!</v>
      </c>
      <c r="BJ1" s="7" t="e">
        <f>AND(Sheet1!A14,"Uat7PiYliD0=")</f>
        <v>#VALUE!</v>
      </c>
      <c r="BK1" s="7" t="e">
        <f>AND(Sheet1!B14,"Uat7PiYliD4=")</f>
        <v>#VALUE!</v>
      </c>
      <c r="BL1" s="7" t="e">
        <f>AND(Sheet1!C14,"Uat7PiYliD8=")</f>
        <v>#VALUE!</v>
      </c>
      <c r="BM1" s="7" t="e">
        <f>AND(Sheet1!D14,"Uat7PiYliEA=")</f>
        <v>#VALUE!</v>
      </c>
      <c r="BN1" s="8" t="e">
        <f>IF(Sheet1!$A15:$A15,"Uat7PiYliEE=",0)</f>
        <v>#VALUE!</v>
      </c>
      <c r="BO1" s="7" t="e">
        <f>AND(Sheet1!A15,"Uat7PiYliEI=")</f>
        <v>#VALUE!</v>
      </c>
      <c r="BP1" s="7" t="e">
        <f>AND(Sheet1!B15,"Uat7PiYliEM=")</f>
        <v>#VALUE!</v>
      </c>
      <c r="BQ1" s="7" t="e">
        <f>AND(Sheet1!C15,"Uat7PiYliEQ=")</f>
        <v>#VALUE!</v>
      </c>
      <c r="BR1" s="7" t="e">
        <f>AND(Sheet1!D15,"Uat7PiYliEU=")</f>
        <v>#VALUE!</v>
      </c>
      <c r="BS1" s="8" t="e">
        <f>IF(Sheet1!$A16:$A16,"Uat7PiYliEY=",0)</f>
        <v>#VALUE!</v>
      </c>
      <c r="BT1" s="7" t="e">
        <f>AND(Sheet1!A16,"Uat7PiYliEc=")</f>
        <v>#VALUE!</v>
      </c>
      <c r="BU1" s="7" t="e">
        <f>AND(Sheet1!B16,"Uat7PiYliEg=")</f>
        <v>#VALUE!</v>
      </c>
      <c r="BV1" s="7" t="e">
        <f>AND(Sheet1!C16,"Uat7PiYliEk=")</f>
        <v>#VALUE!</v>
      </c>
      <c r="BW1" s="7" t="e">
        <f>AND(Sheet1!D16,"Uat7PiYliEo=")</f>
        <v>#VALUE!</v>
      </c>
      <c r="BX1" s="8" t="e">
        <f>IF(Sheet1!$A17:$A17,"Uat7PiYliEs=",0)</f>
        <v>#VALUE!</v>
      </c>
      <c r="BY1" s="7" t="e">
        <f>AND(Sheet1!A17,"Uat7PiYliEw=")</f>
        <v>#VALUE!</v>
      </c>
      <c r="BZ1" s="7" t="e">
        <f>AND(Sheet1!B17,"Uat7PiYliE0=")</f>
        <v>#VALUE!</v>
      </c>
      <c r="CA1" s="7" t="e">
        <f>AND(Sheet1!C17,"Uat7PiYliE4=")</f>
        <v>#VALUE!</v>
      </c>
      <c r="CB1" s="7" t="e">
        <f>AND(Sheet1!D17,"Uat7PiYliE8=")</f>
        <v>#VALUE!</v>
      </c>
      <c r="CC1" s="8" t="e">
        <f>IF(Sheet1!$A18:$A18,"Uat7PiYliFA=",0)</f>
        <v>#VALUE!</v>
      </c>
      <c r="CD1" s="7" t="e">
        <f>AND(Sheet1!A18,"Uat7PiYliFE=")</f>
        <v>#VALUE!</v>
      </c>
      <c r="CE1" s="7" t="e">
        <f>AND(Sheet1!B18,"Uat7PiYliFI=")</f>
        <v>#VALUE!</v>
      </c>
      <c r="CF1" s="7" t="e">
        <f>AND(Sheet1!C18,"Uat7PiYliFM=")</f>
        <v>#VALUE!</v>
      </c>
      <c r="CG1" s="7" t="e">
        <f>AND(Sheet1!D18,"Uat7PiYliFQ=")</f>
        <v>#VALUE!</v>
      </c>
      <c r="CH1" s="8" t="e">
        <f>IF(Sheet1!$A19:$A19,"Uat7PiYliFU=",0)</f>
        <v>#VALUE!</v>
      </c>
      <c r="CI1" s="7" t="e">
        <f>AND(Sheet1!A19,"Uat7PiYliFY=")</f>
        <v>#VALUE!</v>
      </c>
      <c r="CJ1" s="7" t="e">
        <f>AND(Sheet1!B19,"Uat7PiYliFc=")</f>
        <v>#VALUE!</v>
      </c>
      <c r="CK1" s="7" t="e">
        <f>AND(Sheet1!C19,"Uat7PiYliFg=")</f>
        <v>#VALUE!</v>
      </c>
      <c r="CL1" s="7" t="e">
        <f>AND(Sheet1!D19,"Uat7PiYliFk=")</f>
        <v>#VALUE!</v>
      </c>
      <c r="CM1" s="8" t="e">
        <f>IF(Sheet1!$A20:$A20,"Uat7PiYliFo=",0)</f>
        <v>#VALUE!</v>
      </c>
      <c r="CN1" s="7" t="e">
        <f>AND(Sheet1!A20,"Uat7PiYliFs=")</f>
        <v>#VALUE!</v>
      </c>
      <c r="CO1" s="7" t="e">
        <f>AND(Sheet1!B20,"Uat7PiYliFw=")</f>
        <v>#VALUE!</v>
      </c>
      <c r="CP1" s="7" t="e">
        <f>AND(Sheet1!C20,"Uat7PiYliF0=")</f>
        <v>#VALUE!</v>
      </c>
      <c r="CQ1" s="7" t="e">
        <f>AND(Sheet1!D20,"Uat7PiYliF4=")</f>
        <v>#VALUE!</v>
      </c>
      <c r="CR1" s="8" t="e">
        <f>IF({},"Uat7PiYliF8=",0)</f>
        <v>#NAME?</v>
      </c>
      <c r="CS1" s="7" t="e">
        <f>AND({},"Uat7PiYliGA=")</f>
        <v>#NAME?</v>
      </c>
      <c r="CT1" s="7" t="e">
        <f>AND({},"Uat7PiYliGE=")</f>
        <v>#NAME?</v>
      </c>
      <c r="CU1" s="7" t="e">
        <f>AND({},"Uat7PiYliGI=")</f>
        <v>#NAME?</v>
      </c>
      <c r="CV1" s="7" t="e">
        <f>AND({},"Uat7PiYliGM=")</f>
        <v>#NAME?</v>
      </c>
      <c r="CW1" s="8" t="e">
        <f>IF(Sheet1!$A25:$A25,"Uat7PiYliGQ=",0)</f>
        <v>#VALUE!</v>
      </c>
      <c r="CX1" s="7" t="e">
        <f>AND(Sheet1!A25,"Uat7PiYliGU=")</f>
        <v>#VALUE!</v>
      </c>
      <c r="CY1" s="7" t="e">
        <f>AND(Sheet1!B25,"Uat7PiYliGY=")</f>
        <v>#VALUE!</v>
      </c>
      <c r="CZ1" s="7" t="e">
        <f>AND(Sheet1!C25,"Uat7PiYliGc=")</f>
        <v>#VALUE!</v>
      </c>
      <c r="DA1" s="7" t="e">
        <f>AND(Sheet1!D25,"Uat7PiYliGg=")</f>
        <v>#VALUE!</v>
      </c>
      <c r="DB1" s="8" t="e">
        <f>IF(Sheet1!$A26:$A26,"Uat7PiYliGk=",0)</f>
        <v>#VALUE!</v>
      </c>
      <c r="DC1" s="7" t="e">
        <f>AND(Sheet1!A26,"Uat7PiYliGo=")</f>
        <v>#VALUE!</v>
      </c>
      <c r="DD1" s="7" t="e">
        <f>AND(Sheet1!B26,"Uat7PiYliGs=")</f>
        <v>#VALUE!</v>
      </c>
      <c r="DE1" s="7" t="e">
        <f>AND(Sheet1!C26,"Uat7PiYliGw=")</f>
        <v>#VALUE!</v>
      </c>
      <c r="DF1" s="7" t="e">
        <f>AND(Sheet1!D26,"Uat7PiYliG0=")</f>
        <v>#VALUE!</v>
      </c>
      <c r="DG1" s="8" t="e">
        <f>IF(Sheet1!$A27:$A27,"Uat7PiYliG4=",0)</f>
        <v>#VALUE!</v>
      </c>
      <c r="DH1" s="7" t="e">
        <f>AND(Sheet1!A27,"Uat7PiYliG8=")</f>
        <v>#VALUE!</v>
      </c>
      <c r="DI1" s="7" t="e">
        <f>AND(Sheet1!B27,"Uat7PiYliHA=")</f>
        <v>#VALUE!</v>
      </c>
      <c r="DJ1" s="7" t="e">
        <f>AND(Sheet1!C27,"Uat7PiYliHE=")</f>
        <v>#VALUE!</v>
      </c>
      <c r="DK1" s="7" t="e">
        <f>AND(Sheet1!D27,"Uat7PiYliHI=")</f>
        <v>#VALUE!</v>
      </c>
      <c r="DL1" s="8" t="e">
        <f>IF(Sheet1!$A28:$A28,"Uat7PiYliHM=",0)</f>
        <v>#VALUE!</v>
      </c>
      <c r="DM1" s="7" t="e">
        <f>AND(Sheet1!A28,"Uat7PiYliHQ=")</f>
        <v>#VALUE!</v>
      </c>
      <c r="DN1" s="7" t="e">
        <f>AND(Sheet1!B28,"Uat7PiYliHU=")</f>
        <v>#VALUE!</v>
      </c>
      <c r="DO1" s="7" t="e">
        <f>AND(Sheet1!C28,"Uat7PiYliHY=")</f>
        <v>#VALUE!</v>
      </c>
      <c r="DP1" s="7" t="e">
        <f>AND(Sheet1!D28,"Uat7PiYliHc=")</f>
        <v>#VALUE!</v>
      </c>
      <c r="DQ1" s="8" t="e">
        <f>IF(Sheet1!$A29:$A29,"Uat7PiYliHg=",0)</f>
        <v>#VALUE!</v>
      </c>
      <c r="DR1" s="7" t="e">
        <f>AND(Sheet1!A29,"Uat7PiYliHk=")</f>
        <v>#VALUE!</v>
      </c>
      <c r="DS1" s="7" t="e">
        <f>AND(Sheet1!B29,"Uat7PiYliHo=")</f>
        <v>#VALUE!</v>
      </c>
      <c r="DT1" s="7" t="e">
        <f>AND(Sheet1!C29,"Uat7PiYliHs=")</f>
        <v>#VALUE!</v>
      </c>
      <c r="DU1" s="7" t="e">
        <f>AND(Sheet1!D29,"Uat7PiYliHw=")</f>
        <v>#VALUE!</v>
      </c>
      <c r="DV1" s="8" t="e">
        <f>IF(Sheet1!$A30:$A30,"Uat7PiYliH0=",0)</f>
        <v>#VALUE!</v>
      </c>
      <c r="DW1" s="7" t="e">
        <f>AND(Sheet1!A30,"Uat7PiYliH4=")</f>
        <v>#VALUE!</v>
      </c>
      <c r="DX1" s="7" t="e">
        <f>AND(Sheet1!B30,"Uat7PiYliH8=")</f>
        <v>#VALUE!</v>
      </c>
      <c r="DY1" s="7" t="e">
        <f>AND(Sheet1!C30,"Uat7PiYliIA=")</f>
        <v>#VALUE!</v>
      </c>
      <c r="DZ1" s="7" t="e">
        <f>AND(Sheet1!D30,"Uat7PiYliIE=")</f>
        <v>#VALUE!</v>
      </c>
      <c r="EA1" s="8" t="e">
        <f>IF(Sheet1!$A31:$A31,"Uat7PiYliII=",0)</f>
        <v>#VALUE!</v>
      </c>
      <c r="EB1" s="7" t="e">
        <f>AND(Sheet1!A31,"Uat7PiYliIM=")</f>
        <v>#VALUE!</v>
      </c>
      <c r="EC1" s="7" t="e">
        <f>AND(Sheet1!B31,"Uat7PiYliIQ=")</f>
        <v>#VALUE!</v>
      </c>
      <c r="ED1" s="7" t="e">
        <f>AND(Sheet1!C31,"Uat7PiYliIU=")</f>
        <v>#VALUE!</v>
      </c>
      <c r="EE1" s="7" t="e">
        <f>AND(Sheet1!D31,"Uat7PiYliIY=")</f>
        <v>#VALUE!</v>
      </c>
      <c r="EF1" s="8" t="e">
        <f>IF(Sheet1!$A32:$A32,"Uat7PiYliIc=",0)</f>
        <v>#VALUE!</v>
      </c>
      <c r="EG1" s="7" t="e">
        <f>AND(Sheet1!A32,"Uat7PiYliIg=")</f>
        <v>#VALUE!</v>
      </c>
      <c r="EH1" s="7" t="e">
        <f>AND(Sheet1!B32,"Uat7PiYliIk=")</f>
        <v>#VALUE!</v>
      </c>
      <c r="EI1" s="7" t="e">
        <f>AND(Sheet1!C32,"Uat7PiYliIo=")</f>
        <v>#VALUE!</v>
      </c>
      <c r="EJ1" s="7" t="e">
        <f>AND(Sheet1!D32,"Uat7PiYliIs=")</f>
        <v>#VALUE!</v>
      </c>
      <c r="EK1" s="8" t="e">
        <f>IF(Sheet1!$A33:$A33,"Uat7PiYliIw=",0)</f>
        <v>#VALUE!</v>
      </c>
      <c r="EL1" s="7" t="e">
        <f>AND(Sheet1!A33,"Uat7PiYliI0=")</f>
        <v>#VALUE!</v>
      </c>
      <c r="EM1" s="7" t="e">
        <f>AND(Sheet1!B33,"Uat7PiYliI4=")</f>
        <v>#VALUE!</v>
      </c>
      <c r="EN1" s="7" t="e">
        <f>AND(Sheet1!C33,"Uat7PiYliI8=")</f>
        <v>#VALUE!</v>
      </c>
      <c r="EO1" s="7" t="e">
        <f>AND(Sheet1!D33,"Uat7PiYliJA=")</f>
        <v>#VALUE!</v>
      </c>
      <c r="EP1" s="8" t="e">
        <f>IF(Sheet1!$A34:$A34,"Uat7PiYliJE=",0)</f>
        <v>#VALUE!</v>
      </c>
      <c r="EQ1" s="7" t="e">
        <f>AND(Sheet1!A34,"Uat7PiYliJI=")</f>
        <v>#VALUE!</v>
      </c>
      <c r="ER1" s="7" t="e">
        <f>AND(Sheet1!B34,"Uat7PiYliJM=")</f>
        <v>#VALUE!</v>
      </c>
      <c r="ES1" s="7" t="e">
        <f>AND(Sheet1!C34,"Uat7PiYliJQ=")</f>
        <v>#VALUE!</v>
      </c>
      <c r="ET1" s="7" t="e">
        <f>AND(Sheet1!D34,"Uat7PiYliJU=")</f>
        <v>#VALUE!</v>
      </c>
      <c r="EU1" s="8" t="e">
        <f>IF(Sheet1!$A35:$A35,"Uat7PiYliJY=",0)</f>
        <v>#VALUE!</v>
      </c>
      <c r="EV1" s="7" t="e">
        <f>AND(Sheet1!A35,"Uat7PiYliJc=")</f>
        <v>#VALUE!</v>
      </c>
      <c r="EW1" s="7" t="e">
        <f>AND(Sheet1!B35,"Uat7PiYliJg=")</f>
        <v>#VALUE!</v>
      </c>
      <c r="EX1" s="7" t="e">
        <f>AND(Sheet1!C35,"Uat7PiYliJk=")</f>
        <v>#VALUE!</v>
      </c>
      <c r="EY1" s="7" t="e">
        <f>AND(Sheet1!D35,"Uat7PiYliJo=")</f>
        <v>#VALUE!</v>
      </c>
      <c r="EZ1" s="8" t="e">
        <f>IF(Sheet1!$A36:$A36,"Uat7PiYliJs=",0)</f>
        <v>#VALUE!</v>
      </c>
      <c r="FA1" s="7" t="e">
        <f>AND(Sheet1!A36,"Uat7PiYliJw=")</f>
        <v>#VALUE!</v>
      </c>
      <c r="FB1" s="7" t="e">
        <f>AND(Sheet1!B36,"Uat7PiYliJ0=")</f>
        <v>#VALUE!</v>
      </c>
      <c r="FC1" s="7" t="e">
        <f>AND(Sheet1!C36,"Uat7PiYliJ4=")</f>
        <v>#VALUE!</v>
      </c>
      <c r="FD1" s="7" t="e">
        <f>AND(Sheet1!D36,"Uat7PiYliJ8=")</f>
        <v>#VALUE!</v>
      </c>
      <c r="FE1" s="8" t="e">
        <f>IF(Sheet1!$A37:$A37,"Uat7PiYliKA=",0)</f>
        <v>#VALUE!</v>
      </c>
      <c r="FF1" s="7" t="e">
        <f>AND(Sheet1!A37,"Uat7PiYliKE=")</f>
        <v>#VALUE!</v>
      </c>
      <c r="FG1" s="7" t="e">
        <f>AND(Sheet1!B37,"Uat7PiYliKI=")</f>
        <v>#VALUE!</v>
      </c>
      <c r="FH1" s="7" t="e">
        <f>AND(Sheet1!C37,"Uat7PiYliKM=")</f>
        <v>#VALUE!</v>
      </c>
      <c r="FI1" s="7" t="e">
        <f>AND(Sheet1!D37,"Uat7PiYliKQ=")</f>
        <v>#VALUE!</v>
      </c>
      <c r="FJ1" s="8" t="e">
        <f>IF(Sheet1!$A38:$A38,"Uat7PiYliKU=",0)</f>
        <v>#VALUE!</v>
      </c>
      <c r="FK1" s="7" t="e">
        <f>AND(Sheet1!A38,"Uat7PiYliKY=")</f>
        <v>#VALUE!</v>
      </c>
      <c r="FL1" s="7" t="e">
        <f>AND(Sheet1!B38,"Uat7PiYliKc=")</f>
        <v>#VALUE!</v>
      </c>
      <c r="FM1" s="7" t="e">
        <f>AND(Sheet1!C38,"Uat7PiYliKg=")</f>
        <v>#VALUE!</v>
      </c>
      <c r="FN1" s="7" t="e">
        <f>AND(Sheet1!D38,"Uat7PiYliKk=")</f>
        <v>#VALUE!</v>
      </c>
      <c r="FO1" s="8" t="e">
        <f>IF(Sheet1!$A39:$A39,"Uat7PiYliKo=",0)</f>
        <v>#VALUE!</v>
      </c>
      <c r="FP1" s="7" t="e">
        <f>AND(Sheet1!A39,"Uat7PiYliKs=")</f>
        <v>#VALUE!</v>
      </c>
      <c r="FQ1" s="7" t="e">
        <f>AND(Sheet1!B39,"Uat7PiYliKw=")</f>
        <v>#VALUE!</v>
      </c>
      <c r="FR1" s="7" t="e">
        <f>AND(Sheet1!C39,"Uat7PiYliK0=")</f>
        <v>#VALUE!</v>
      </c>
      <c r="FS1" s="7" t="e">
        <f>AND(Sheet1!D39,"Uat7PiYliK4=")</f>
        <v>#VALUE!</v>
      </c>
      <c r="FT1" s="8" t="e">
        <f>IF(Sheet1!$A40:$A40,"Uat7PiYliK8=",0)</f>
        <v>#VALUE!</v>
      </c>
      <c r="FU1" s="7" t="e">
        <f>AND(Sheet1!A40,"Uat7PiYliLA=")</f>
        <v>#VALUE!</v>
      </c>
      <c r="FV1" s="7" t="e">
        <f>AND(Sheet1!B40,"Uat7PiYliLE=")</f>
        <v>#VALUE!</v>
      </c>
      <c r="FW1" s="7" t="e">
        <f>AND(Sheet1!C40,"Uat7PiYliLI=")</f>
        <v>#VALUE!</v>
      </c>
      <c r="FX1" s="7" t="e">
        <f>AND(Sheet1!D40,"Uat7PiYliLM=")</f>
        <v>#VALUE!</v>
      </c>
      <c r="FY1" s="8" t="e">
        <f>IF(Sheet1!$A41:$A41,"Uat7PiYliLQ=",0)</f>
        <v>#VALUE!</v>
      </c>
      <c r="FZ1" s="7" t="e">
        <f>AND(Sheet1!A41,"Uat7PiYliLU=")</f>
        <v>#VALUE!</v>
      </c>
      <c r="GA1" s="7" t="e">
        <f>AND(Sheet1!B41,"Uat7PiYliLY=")</f>
        <v>#VALUE!</v>
      </c>
      <c r="GB1" s="7" t="e">
        <f>AND(Sheet1!C41,"Uat7PiYliLc=")</f>
        <v>#VALUE!</v>
      </c>
      <c r="GC1" s="7" t="e">
        <f>AND(Sheet1!D41,"Uat7PiYliLg=")</f>
        <v>#VALUE!</v>
      </c>
      <c r="GD1" s="8" t="e">
        <f>IF(Sheet1!$A42:$A42,"Uat7PiYliLk=",0)</f>
        <v>#VALUE!</v>
      </c>
      <c r="GE1" s="7" t="e">
        <f>AND(Sheet1!A42,"Uat7PiYliLo=")</f>
        <v>#VALUE!</v>
      </c>
      <c r="GF1" s="7" t="e">
        <f>AND(Sheet1!B42,"Uat7PiYliLs=")</f>
        <v>#VALUE!</v>
      </c>
      <c r="GG1" s="7" t="e">
        <f>AND(Sheet1!C42,"Uat7PiYliLw=")</f>
        <v>#VALUE!</v>
      </c>
      <c r="GH1" s="7" t="e">
        <f>AND(Sheet1!D42,"Uat7PiYliL0=")</f>
        <v>#VALUE!</v>
      </c>
      <c r="GI1" s="8" t="e">
        <f>IF(Sheet1!$A43:$A43,"Uat7PiYliL4=",0)</f>
        <v>#VALUE!</v>
      </c>
      <c r="GJ1" s="7" t="e">
        <f>AND(Sheet1!A43,"Uat7PiYliL8=")</f>
        <v>#VALUE!</v>
      </c>
      <c r="GK1" s="7" t="e">
        <f>AND(Sheet1!B43,"Uat7PiYliMA=")</f>
        <v>#VALUE!</v>
      </c>
      <c r="GL1" s="7" t="e">
        <f>AND(Sheet1!C43,"Uat7PiYliME=")</f>
        <v>#VALUE!</v>
      </c>
      <c r="GM1" s="7" t="e">
        <f>AND(Sheet1!D43,"Uat7PiYliMI=")</f>
        <v>#VALUE!</v>
      </c>
      <c r="GN1" s="8" t="e">
        <f>IF(Sheet1!$A44:$A44,"Uat7PiYliMM=",0)</f>
        <v>#VALUE!</v>
      </c>
      <c r="GO1" s="7" t="e">
        <f>AND(Sheet1!A44,"Uat7PiYliMQ=")</f>
        <v>#VALUE!</v>
      </c>
      <c r="GP1" s="7" t="e">
        <f>AND(Sheet1!B44,"Uat7PiYliMU=")</f>
        <v>#VALUE!</v>
      </c>
      <c r="GQ1" s="7" t="e">
        <f>AND(Sheet1!C44,"Uat7PiYliMY=")</f>
        <v>#VALUE!</v>
      </c>
      <c r="GR1" s="7" t="e">
        <f>AND(Sheet1!D44,"Uat7PiYliMc=")</f>
        <v>#VALUE!</v>
      </c>
      <c r="GS1" s="8" t="e">
        <f>IF(Sheet1!$A45:$A45,"Uat7PiYliMg=",0)</f>
        <v>#VALUE!</v>
      </c>
      <c r="GT1" s="7" t="e">
        <f>AND(Sheet1!A45,"Uat7PiYliMk=")</f>
        <v>#VALUE!</v>
      </c>
      <c r="GU1" s="7" t="e">
        <f>AND(Sheet1!B45,"Uat7PiYliMo=")</f>
        <v>#VALUE!</v>
      </c>
      <c r="GV1" s="7" t="e">
        <f>AND(Sheet1!C45,"Uat7PiYliMs=")</f>
        <v>#VALUE!</v>
      </c>
      <c r="GW1" s="7" t="e">
        <f>AND(Sheet1!D45,"Uat7PiYliMw=")</f>
        <v>#VALUE!</v>
      </c>
      <c r="GX1" s="8" t="e">
        <f>IF(Sheet1!$A46:$A46,"Uat7PiYliM0=",0)</f>
        <v>#VALUE!</v>
      </c>
      <c r="GY1" s="7" t="e">
        <f>AND(Sheet1!A46,"Uat7PiYliM4=")</f>
        <v>#VALUE!</v>
      </c>
      <c r="GZ1" s="7" t="e">
        <f>AND(Sheet1!B46,"Uat7PiYliM8=")</f>
        <v>#VALUE!</v>
      </c>
      <c r="HA1" s="7" t="e">
        <f>AND(Sheet1!C46,"Uat7PiYliNA=")</f>
        <v>#VALUE!</v>
      </c>
      <c r="HB1" s="7" t="e">
        <f>AND(Sheet1!D46,"Uat7PiYliNE=")</f>
        <v>#VALUE!</v>
      </c>
      <c r="HC1" s="8" t="e">
        <f>IF(Sheet1!$A47:$A47,"Uat7PiYliNI=",0)</f>
        <v>#VALUE!</v>
      </c>
      <c r="HD1" s="7" t="e">
        <f>AND(Sheet1!A47,"Uat7PiYliNM=")</f>
        <v>#VALUE!</v>
      </c>
      <c r="HE1" s="7" t="e">
        <f>AND(Sheet1!B47,"Uat7PiYliNQ=")</f>
        <v>#VALUE!</v>
      </c>
      <c r="HF1" s="7" t="e">
        <f>AND(Sheet1!C47,"Uat7PiYliNU=")</f>
        <v>#VALUE!</v>
      </c>
      <c r="HG1" s="7" t="e">
        <f>AND(Sheet1!D47,"Uat7PiYliNY=")</f>
        <v>#VALUE!</v>
      </c>
      <c r="HH1" s="8" t="e">
        <f>IF(Sheet1!$A48:$A48,"Uat7PiYliNc=",0)</f>
        <v>#VALUE!</v>
      </c>
      <c r="HI1" s="7" t="e">
        <f>AND(Sheet1!A48,"Uat7PiYliNg=")</f>
        <v>#VALUE!</v>
      </c>
      <c r="HJ1" s="7" t="e">
        <f>AND(Sheet1!B48,"Uat7PiYliNk=")</f>
        <v>#VALUE!</v>
      </c>
      <c r="HK1" s="7" t="e">
        <f>AND(Sheet1!C48,"Uat7PiYliNo=")</f>
        <v>#VALUE!</v>
      </c>
      <c r="HL1" s="7" t="e">
        <f>AND(Sheet1!D48,"Uat7PiYliNs=")</f>
        <v>#VALUE!</v>
      </c>
      <c r="HM1" s="8" t="e">
        <f>IF(Sheet1!$A49:$A49,"Uat7PiYliNw=",0)</f>
        <v>#VALUE!</v>
      </c>
      <c r="HN1" s="7" t="e">
        <f>AND(Sheet1!A49,"Uat7PiYliN0=")</f>
        <v>#VALUE!</v>
      </c>
      <c r="HO1" s="7" t="e">
        <f>AND(Sheet1!B49,"Uat7PiYliN4=")</f>
        <v>#VALUE!</v>
      </c>
      <c r="HP1" s="7" t="e">
        <f>AND(Sheet1!C49,"Uat7PiYliN8=")</f>
        <v>#VALUE!</v>
      </c>
      <c r="HQ1" s="7" t="e">
        <f>AND(Sheet1!D49,"Uat7PiYliOA=")</f>
        <v>#VALUE!</v>
      </c>
      <c r="HR1" s="8" t="e">
        <f>IF(Sheet1!$A50:$A50,"Uat7PiYliOE=",0)</f>
        <v>#VALUE!</v>
      </c>
      <c r="HS1" s="7" t="e">
        <f>AND(Sheet1!A50,"Uat7PiYliOI=")</f>
        <v>#VALUE!</v>
      </c>
      <c r="HT1" s="7" t="e">
        <f>AND(Sheet1!B50,"Uat7PiYliOM=")</f>
        <v>#VALUE!</v>
      </c>
      <c r="HU1" s="7" t="e">
        <f>AND(Sheet1!C50,"Uat7PiYliOQ=")</f>
        <v>#VALUE!</v>
      </c>
      <c r="HV1" s="7" t="e">
        <f>AND(Sheet1!D50,"Uat7PiYliOU=")</f>
        <v>#VALUE!</v>
      </c>
      <c r="HW1" s="8" t="e">
        <f>IF(Sheet1!$A51:$A51,"Uat7PiYliOY=",0)</f>
        <v>#VALUE!</v>
      </c>
      <c r="HX1" s="7" t="e">
        <f>AND(Sheet1!A51,"Uat7PiYliOc=")</f>
        <v>#VALUE!</v>
      </c>
      <c r="HY1" s="7" t="e">
        <f>AND(Sheet1!B51,"Uat7PiYliOg=")</f>
        <v>#VALUE!</v>
      </c>
      <c r="HZ1" s="7" t="e">
        <f>AND(Sheet1!C51,"Uat7PiYliOk=")</f>
        <v>#VALUE!</v>
      </c>
      <c r="IA1" s="7" t="e">
        <f>AND(Sheet1!D51,"Uat7PiYliOo=")</f>
        <v>#VALUE!</v>
      </c>
      <c r="IB1" s="8" t="e">
        <f>IF(Sheet1!$A52:$A52,"Uat7PiYliOs=",0)</f>
        <v>#VALUE!</v>
      </c>
      <c r="IC1" s="7" t="e">
        <f>AND(Sheet1!A52,"Uat7PiYliOw=")</f>
        <v>#VALUE!</v>
      </c>
      <c r="ID1" s="7" t="e">
        <f>AND(Sheet1!B52,"Uat7PiYliO0=")</f>
        <v>#VALUE!</v>
      </c>
      <c r="IE1" s="7" t="e">
        <f>AND(Sheet1!C52,"Uat7PiYliO4=")</f>
        <v>#VALUE!</v>
      </c>
      <c r="IF1" s="7" t="e">
        <f>AND(Sheet1!D52,"Uat7PiYliO8=")</f>
        <v>#VALUE!</v>
      </c>
      <c r="IG1" s="8" t="e">
        <f>IF(Sheet1!$A53:$A53,"Uat7PiYliPA=",0)</f>
        <v>#VALUE!</v>
      </c>
      <c r="IH1" s="7" t="e">
        <f>AND(Sheet1!A53,"Uat7PiYliPE=")</f>
        <v>#VALUE!</v>
      </c>
      <c r="II1" s="7" t="e">
        <f>AND(Sheet1!B53,"Uat7PiYliPI=")</f>
        <v>#VALUE!</v>
      </c>
      <c r="IJ1" s="7" t="e">
        <f>AND(Sheet1!C53,"Uat7PiYliPM=")</f>
        <v>#VALUE!</v>
      </c>
      <c r="IK1" s="7" t="e">
        <f>AND(Sheet1!D53,"Uat7PiYliPQ=")</f>
        <v>#VALUE!</v>
      </c>
      <c r="IL1" s="8" t="e">
        <f>IF(Sheet1!$A54:$A54,"Uat7PiYliPU=",0)</f>
        <v>#VALUE!</v>
      </c>
      <c r="IM1" s="7" t="e">
        <f>AND(Sheet1!A54,"Uat7PiYliPY=")</f>
        <v>#VALUE!</v>
      </c>
      <c r="IN1" s="7" t="e">
        <f>AND(Sheet1!B54,"Uat7PiYliPc=")</f>
        <v>#VALUE!</v>
      </c>
      <c r="IO1" s="7" t="e">
        <f>AND(Sheet1!C54,"Uat7PiYliPg=")</f>
        <v>#VALUE!</v>
      </c>
      <c r="IP1" s="7" t="e">
        <f>AND(Sheet1!D54,"Uat7PiYliPk=")</f>
        <v>#VALUE!</v>
      </c>
      <c r="IQ1" s="8" t="e">
        <f>IF(Sheet1!$A55:$A55,"Uat7PiYliPo=",0)</f>
        <v>#VALUE!</v>
      </c>
      <c r="IR1" s="7" t="e">
        <f>AND(Sheet1!A55,"Uat7PiYliPs=")</f>
        <v>#VALUE!</v>
      </c>
      <c r="IS1" s="7" t="e">
        <f>AND(Sheet1!B55,"Uat7PiYliPw=")</f>
        <v>#VALUE!</v>
      </c>
      <c r="IT1" s="7" t="e">
        <f>AND(Sheet1!C55,"Uat7PiYliP0=")</f>
        <v>#VALUE!</v>
      </c>
      <c r="IU1" s="7" t="e">
        <f>AND(Sheet1!D55,"Uat7PiYliP4=")</f>
        <v>#VALUE!</v>
      </c>
      <c r="IV1" s="8" t="e">
        <f>IF({},"Uat7PiYliP8=",0)</f>
        <v>#NAME?</v>
      </c>
    </row>
    <row r="2" spans="1:256" ht="12.75" customHeight="1">
      <c r="A2" s="7" t="e">
        <f>AND({},"edoRl0F8QQA=")</f>
        <v>#NAME?</v>
      </c>
      <c r="B2" s="7" t="e">
        <f>AND({},"edoRl0F8QQE=")</f>
        <v>#NAME?</v>
      </c>
      <c r="C2" s="7" t="e">
        <f>AND({},"edoRl0F8QQI=")</f>
        <v>#NAME?</v>
      </c>
      <c r="D2" s="7" t="e">
        <f>AND({},"edoRl0F8QQM=")</f>
        <v>#NAME?</v>
      </c>
      <c r="E2" s="8" t="e">
        <f>IF(Sheet1!$A56:$A56,"edoRl0F8QQQ=",0)</f>
        <v>#VALUE!</v>
      </c>
      <c r="F2" s="7" t="e">
        <f>AND(Sheet1!A56,"edoRl0F8QQU=")</f>
        <v>#VALUE!</v>
      </c>
      <c r="G2" s="7" t="e">
        <f>AND(Sheet1!B56,"edoRl0F8QQY=")</f>
        <v>#VALUE!</v>
      </c>
      <c r="H2" s="7" t="e">
        <f>AND(Sheet1!C56,"edoRl0F8QQc=")</f>
        <v>#VALUE!</v>
      </c>
      <c r="I2" s="7" t="e">
        <f>AND(Sheet1!D56,"edoRl0F8QQg=")</f>
        <v>#VALUE!</v>
      </c>
      <c r="J2" s="8" t="e">
        <f>IF(Sheet1!$A57:$A57,"edoRl0F8QQk=",0)</f>
        <v>#VALUE!</v>
      </c>
      <c r="K2" s="7" t="e">
        <f>AND(Sheet1!A57,"edoRl0F8QQo=")</f>
        <v>#VALUE!</v>
      </c>
      <c r="L2" s="7" t="e">
        <f>AND(Sheet1!B57,"edoRl0F8QQs=")</f>
        <v>#VALUE!</v>
      </c>
      <c r="M2" s="7" t="e">
        <f>AND(Sheet1!C57,"edoRl0F8QQw=")</f>
        <v>#VALUE!</v>
      </c>
      <c r="N2" s="7" t="e">
        <f>AND(Sheet1!D57,"edoRl0F8QQ0=")</f>
        <v>#VALUE!</v>
      </c>
      <c r="O2" s="8" t="e">
        <f>IF(Sheet1!$A58:$A58,"edoRl0F8QQ4=",0)</f>
        <v>#VALUE!</v>
      </c>
      <c r="P2" s="7" t="e">
        <f>AND(Sheet1!A58,"edoRl0F8QQ8=")</f>
        <v>#VALUE!</v>
      </c>
      <c r="Q2" s="7" t="e">
        <f>AND(Sheet1!B58,"edoRl0F8QRA=")</f>
        <v>#VALUE!</v>
      </c>
      <c r="R2" s="7" t="e">
        <f>AND(Sheet1!C58,"edoRl0F8QRE=")</f>
        <v>#VALUE!</v>
      </c>
      <c r="S2" s="7" t="e">
        <f>AND(Sheet1!D58,"edoRl0F8QRI=")</f>
        <v>#VALUE!</v>
      </c>
      <c r="T2" s="8" t="e">
        <f>IF(Sheet1!$A59:$A59,"edoRl0F8QRM=",0)</f>
        <v>#VALUE!</v>
      </c>
      <c r="U2" s="7" t="e">
        <f>AND(Sheet1!A59,"edoRl0F8QRQ=")</f>
        <v>#VALUE!</v>
      </c>
      <c r="V2" s="7" t="e">
        <f>AND(Sheet1!B59,"edoRl0F8QRU=")</f>
        <v>#VALUE!</v>
      </c>
      <c r="W2" s="7" t="e">
        <f>AND(Sheet1!C59,"edoRl0F8QRY=")</f>
        <v>#VALUE!</v>
      </c>
      <c r="X2" s="7" t="e">
        <f>AND(Sheet1!D59,"edoRl0F8QRc=")</f>
        <v>#VALUE!</v>
      </c>
      <c r="Y2" s="8" t="e">
        <f>IF(Sheet1!$A60:$A60,"edoRl0F8QRg=",0)</f>
        <v>#VALUE!</v>
      </c>
      <c r="Z2" s="7" t="e">
        <f>AND(Sheet1!A60,"edoRl0F8QRk=")</f>
        <v>#VALUE!</v>
      </c>
      <c r="AA2" s="7" t="e">
        <f>AND(Sheet1!B60,"edoRl0F8QRo=")</f>
        <v>#VALUE!</v>
      </c>
      <c r="AB2" s="7" t="e">
        <f>AND(Sheet1!C60,"edoRl0F8QRs=")</f>
        <v>#VALUE!</v>
      </c>
      <c r="AC2" s="7" t="e">
        <f>AND(Sheet1!D60,"edoRl0F8QRw=")</f>
        <v>#VALUE!</v>
      </c>
      <c r="AD2" s="8" t="e">
        <f>IF(Sheet1!$A61:$A61,"edoRl0F8QR0=",0)</f>
        <v>#VALUE!</v>
      </c>
      <c r="AE2" s="7" t="e">
        <f>AND(Sheet1!A61,"edoRl0F8QR4=")</f>
        <v>#VALUE!</v>
      </c>
      <c r="AF2" s="7" t="e">
        <f>AND(Sheet1!B61,"edoRl0F8QR8=")</f>
        <v>#VALUE!</v>
      </c>
      <c r="AG2" s="7" t="e">
        <f>AND(Sheet1!C61,"edoRl0F8QSA=")</f>
        <v>#VALUE!</v>
      </c>
      <c r="AH2" s="7" t="e">
        <f>AND(Sheet1!D61,"edoRl0F8QSE=")</f>
        <v>#VALUE!</v>
      </c>
      <c r="AI2" s="8" t="e">
        <f>IF(Sheet1!$A62:$A62,"edoRl0F8QSI=",0)</f>
        <v>#VALUE!</v>
      </c>
      <c r="AJ2" s="7" t="e">
        <f>AND(Sheet1!A62,"edoRl0F8QSM=")</f>
        <v>#VALUE!</v>
      </c>
      <c r="AK2" s="7" t="e">
        <f>AND(Sheet1!B62,"edoRl0F8QSQ=")</f>
        <v>#VALUE!</v>
      </c>
      <c r="AL2" s="7" t="e">
        <f>AND(Sheet1!C62,"edoRl0F8QSU=")</f>
        <v>#VALUE!</v>
      </c>
      <c r="AM2" s="7" t="e">
        <f>AND(Sheet1!D62,"edoRl0F8QSY=")</f>
        <v>#VALUE!</v>
      </c>
      <c r="AN2" s="8" t="e">
        <f>IF(Sheet1!$A63:$A97,"edoRl0F8QSc=",0)</f>
        <v>#VALUE!</v>
      </c>
      <c r="AO2" s="7" t="e">
        <f>AND({},"edoRl0F8QSg=")</f>
        <v>#NAME?</v>
      </c>
      <c r="AP2" s="7" t="e">
        <f>AND({},"edoRl0F8QSk=")</f>
        <v>#NAME?</v>
      </c>
      <c r="AQ2" s="7" t="e">
        <f>AND({},"edoRl0F8QSo=")</f>
        <v>#NAME?</v>
      </c>
      <c r="AR2" s="7" t="e">
        <f>AND({},"edoRl0F8QSs=")</f>
        <v>#NAME?</v>
      </c>
      <c r="AS2" s="8" t="e">
        <f>IF(Sheet1!$A63:$A63,"edoRl0F8QSw=",0)</f>
        <v>#VALUE!</v>
      </c>
      <c r="AT2" s="7" t="e">
        <f>AND(Sheet1!A63,"edoRl0F8QS0=")</f>
        <v>#VALUE!</v>
      </c>
      <c r="AU2" s="7" t="e">
        <f>AND(Sheet1!B63,"edoRl0F8QS4=")</f>
        <v>#VALUE!</v>
      </c>
      <c r="AV2" s="7" t="e">
        <f>AND(Sheet1!C63,"edoRl0F8QS8=")</f>
        <v>#VALUE!</v>
      </c>
      <c r="AW2" s="7" t="e">
        <f>AND(Sheet1!D63,"edoRl0F8QTA=")</f>
        <v>#VALUE!</v>
      </c>
      <c r="AX2" s="8" t="e">
        <f>IF(Sheet1!$A64:$A64,"edoRl0F8QTE=",0)</f>
        <v>#VALUE!</v>
      </c>
      <c r="AY2" s="7" t="e">
        <f>AND(Sheet1!A64,"edoRl0F8QTI=")</f>
        <v>#VALUE!</v>
      </c>
      <c r="AZ2" s="7" t="e">
        <f>AND(Sheet1!B64,"edoRl0F8QTM=")</f>
        <v>#VALUE!</v>
      </c>
      <c r="BA2" s="7" t="e">
        <f>AND(Sheet1!C64,"edoRl0F8QTQ=")</f>
        <v>#VALUE!</v>
      </c>
      <c r="BB2" s="7" t="e">
        <f>AND(Sheet1!D64,"edoRl0F8QTU=")</f>
        <v>#VALUE!</v>
      </c>
      <c r="BC2" s="8" t="e">
        <f>IF(Sheet1!$A65:$A65,"edoRl0F8QTY=",0)</f>
        <v>#VALUE!</v>
      </c>
      <c r="BD2" s="7" t="e">
        <f>AND(Sheet1!A65,"edoRl0F8QTc=")</f>
        <v>#VALUE!</v>
      </c>
      <c r="BE2" s="7" t="e">
        <f>AND(Sheet1!B65,"edoRl0F8QTg=")</f>
        <v>#VALUE!</v>
      </c>
      <c r="BF2" s="7" t="e">
        <f>AND(Sheet1!C65,"edoRl0F8QTk=")</f>
        <v>#VALUE!</v>
      </c>
      <c r="BG2" s="7" t="e">
        <f>AND(Sheet1!D65,"edoRl0F8QTo=")</f>
        <v>#VALUE!</v>
      </c>
      <c r="BH2" s="8" t="e">
        <f>IF(Sheet1!$A66:$A66,"edoRl0F8QTs=",0)</f>
        <v>#VALUE!</v>
      </c>
      <c r="BI2" s="7" t="e">
        <f>AND(Sheet1!A66,"edoRl0F8QTw=")</f>
        <v>#VALUE!</v>
      </c>
      <c r="BJ2" s="7" t="e">
        <f>AND(Sheet1!B66,"edoRl0F8QT0=")</f>
        <v>#VALUE!</v>
      </c>
      <c r="BK2" s="7" t="e">
        <f>AND(Sheet1!C66,"edoRl0F8QT4=")</f>
        <v>#VALUE!</v>
      </c>
      <c r="BL2" s="7" t="e">
        <f>AND(Sheet1!D66,"edoRl0F8QT8=")</f>
        <v>#VALUE!</v>
      </c>
      <c r="BM2" s="8" t="e">
        <f>IF(Sheet1!$A67:$A67,"edoRl0F8QUA=",0)</f>
        <v>#VALUE!</v>
      </c>
      <c r="BN2" s="7" t="e">
        <f>AND(Sheet1!A67,"edoRl0F8QUE=")</f>
        <v>#VALUE!</v>
      </c>
      <c r="BO2" s="7" t="e">
        <f>AND(Sheet1!B67,"edoRl0F8QUI=")</f>
        <v>#VALUE!</v>
      </c>
      <c r="BP2" s="7" t="e">
        <f>AND(Sheet1!C67,"edoRl0F8QUM=")</f>
        <v>#VALUE!</v>
      </c>
      <c r="BQ2" s="7" t="e">
        <f>AND(Sheet1!D67,"edoRl0F8QUQ=")</f>
        <v>#VALUE!</v>
      </c>
      <c r="BR2" s="8" t="e">
        <f>IF(Sheet1!$A68:$A68,"edoRl0F8QUU=",0)</f>
        <v>#VALUE!</v>
      </c>
      <c r="BS2" s="7" t="e">
        <f>AND(Sheet1!A68,"edoRl0F8QUY=")</f>
        <v>#VALUE!</v>
      </c>
      <c r="BT2" s="7" t="e">
        <f>AND(Sheet1!B68,"edoRl0F8QUc=")</f>
        <v>#VALUE!</v>
      </c>
      <c r="BU2" s="7" t="e">
        <f>AND(Sheet1!C68,"edoRl0F8QUg=")</f>
        <v>#VALUE!</v>
      </c>
      <c r="BV2" s="7" t="e">
        <f>AND(Sheet1!D68,"edoRl0F8QUk=")</f>
        <v>#VALUE!</v>
      </c>
      <c r="BW2" s="8" t="e">
        <f>IF(Sheet1!$A69:$A69,"edoRl0F8QUo=",0)</f>
        <v>#VALUE!</v>
      </c>
      <c r="BX2" s="7" t="e">
        <f>AND(Sheet1!A69,"edoRl0F8QUs=")</f>
        <v>#VALUE!</v>
      </c>
      <c r="BY2" s="7" t="e">
        <f>AND(Sheet1!B69,"edoRl0F8QUw=")</f>
        <v>#VALUE!</v>
      </c>
      <c r="BZ2" s="7" t="e">
        <f>AND(Sheet1!C69,"edoRl0F8QU0=")</f>
        <v>#VALUE!</v>
      </c>
      <c r="CA2" s="7" t="e">
        <f>AND(Sheet1!D69,"edoRl0F8QU4=")</f>
        <v>#VALUE!</v>
      </c>
      <c r="CB2" s="8" t="e">
        <f>IF(Sheet1!$A70:$A70,"edoRl0F8QU8=",0)</f>
        <v>#VALUE!</v>
      </c>
      <c r="CC2" s="7" t="e">
        <f>AND(Sheet1!A70,"edoRl0F8QVA=")</f>
        <v>#VALUE!</v>
      </c>
      <c r="CD2" s="7" t="e">
        <f>AND(Sheet1!B70,"edoRl0F8QVE=")</f>
        <v>#VALUE!</v>
      </c>
      <c r="CE2" s="7" t="e">
        <f>AND(Sheet1!C70,"edoRl0F8QVI=")</f>
        <v>#VALUE!</v>
      </c>
      <c r="CF2" s="7" t="e">
        <f>AND(Sheet1!D70,"edoRl0F8QVM=")</f>
        <v>#VALUE!</v>
      </c>
      <c r="CG2" s="8" t="e">
        <f>IF(Sheet1!$A71:$A71,"edoRl0F8QVQ=",0)</f>
        <v>#VALUE!</v>
      </c>
      <c r="CH2" s="7" t="e">
        <f>AND(Sheet1!A71,"edoRl0F8QVU=")</f>
        <v>#VALUE!</v>
      </c>
      <c r="CI2" s="7" t="e">
        <f>AND(Sheet1!B71,"edoRl0F8QVY=")</f>
        <v>#VALUE!</v>
      </c>
      <c r="CJ2" s="7" t="e">
        <f>AND(Sheet1!C71,"edoRl0F8QVc=")</f>
        <v>#VALUE!</v>
      </c>
      <c r="CK2" s="7" t="e">
        <f>AND(Sheet1!D71,"edoRl0F8QVg=")</f>
        <v>#VALUE!</v>
      </c>
      <c r="CL2" s="8" t="e">
        <f>IF(Sheet1!$A72:$A72,"edoRl0F8QVk=",0)</f>
        <v>#VALUE!</v>
      </c>
      <c r="CM2" s="7" t="e">
        <f>AND(Sheet1!A72,"edoRl0F8QVo=")</f>
        <v>#VALUE!</v>
      </c>
      <c r="CN2" s="7" t="e">
        <f>AND(Sheet1!B72,"edoRl0F8QVs=")</f>
        <v>#VALUE!</v>
      </c>
      <c r="CO2" s="7" t="e">
        <f>AND(Sheet1!C72,"edoRl0F8QVw=")</f>
        <v>#VALUE!</v>
      </c>
      <c r="CP2" s="7" t="e">
        <f>AND(Sheet1!D72,"edoRl0F8QV0=")</f>
        <v>#VALUE!</v>
      </c>
      <c r="CQ2" s="8" t="e">
        <f>IF(Sheet1!$A73:$A73,"edoRl0F8QV4=",0)</f>
        <v>#VALUE!</v>
      </c>
      <c r="CR2" s="7" t="e">
        <f>AND(Sheet1!A73,"edoRl0F8QV8=")</f>
        <v>#VALUE!</v>
      </c>
      <c r="CS2" s="7" t="e">
        <f>AND(Sheet1!B73,"edoRl0F8QWA=")</f>
        <v>#VALUE!</v>
      </c>
      <c r="CT2" s="7" t="e">
        <f>AND(Sheet1!C73,"edoRl0F8QWE=")</f>
        <v>#VALUE!</v>
      </c>
      <c r="CU2" s="7" t="e">
        <f>AND(Sheet1!D73,"edoRl0F8QWI=")</f>
        <v>#VALUE!</v>
      </c>
      <c r="CV2" s="8" t="e">
        <f>IF(Sheet1!$A74:$A74,"edoRl0F8QWM=",0)</f>
        <v>#VALUE!</v>
      </c>
      <c r="CW2" s="7" t="e">
        <f>AND(Sheet1!A74,"edoRl0F8QWQ=")</f>
        <v>#VALUE!</v>
      </c>
      <c r="CX2" s="7" t="e">
        <f>AND(Sheet1!B74,"edoRl0F8QWU=")</f>
        <v>#VALUE!</v>
      </c>
      <c r="CY2" s="7" t="e">
        <f>AND(Sheet1!C74,"edoRl0F8QWY=")</f>
        <v>#VALUE!</v>
      </c>
      <c r="CZ2" s="7" t="e">
        <f>AND(Sheet1!D74,"edoRl0F8QWc=")</f>
        <v>#VALUE!</v>
      </c>
      <c r="DA2" s="8" t="e">
        <f>IF(Sheet1!$A75:$A75,"edoRl0F8QWg=",0)</f>
        <v>#VALUE!</v>
      </c>
      <c r="DB2" s="7" t="e">
        <f>AND(Sheet1!A75,"edoRl0F8QWk=")</f>
        <v>#VALUE!</v>
      </c>
      <c r="DC2" s="7" t="e">
        <f>AND(Sheet1!B75,"edoRl0F8QWo=")</f>
        <v>#VALUE!</v>
      </c>
      <c r="DD2" s="7" t="e">
        <f>AND(Sheet1!C75,"edoRl0F8QWs=")</f>
        <v>#VALUE!</v>
      </c>
      <c r="DE2" s="7" t="e">
        <f>AND(Sheet1!D75,"edoRl0F8QWw=")</f>
        <v>#VALUE!</v>
      </c>
      <c r="DF2" s="8" t="e">
        <f>IF(Sheet1!$A76:$A76,"edoRl0F8QW0=",0)</f>
        <v>#VALUE!</v>
      </c>
      <c r="DG2" s="7" t="e">
        <f>AND(Sheet1!A76,"edoRl0F8QW4=")</f>
        <v>#VALUE!</v>
      </c>
      <c r="DH2" s="7" t="e">
        <f>AND(Sheet1!B76,"edoRl0F8QW8=")</f>
        <v>#VALUE!</v>
      </c>
      <c r="DI2" s="7" t="e">
        <f>AND(Sheet1!C76,"edoRl0F8QXA=")</f>
        <v>#VALUE!</v>
      </c>
      <c r="DJ2" s="7" t="e">
        <f>AND(Sheet1!D76,"edoRl0F8QXE=")</f>
        <v>#VALUE!</v>
      </c>
      <c r="DK2" s="8" t="e">
        <f>IF(Sheet1!$A77:$A77,"edoRl0F8QXI=",0)</f>
        <v>#VALUE!</v>
      </c>
      <c r="DL2" s="7" t="e">
        <f>AND(Sheet1!A77,"edoRl0F8QXM=")</f>
        <v>#VALUE!</v>
      </c>
      <c r="DM2" s="7" t="e">
        <f>AND(Sheet1!B77,"edoRl0F8QXQ=")</f>
        <v>#VALUE!</v>
      </c>
      <c r="DN2" s="7" t="e">
        <f>AND(Sheet1!C77,"edoRl0F8QXU=")</f>
        <v>#VALUE!</v>
      </c>
      <c r="DO2" s="7" t="e">
        <f>AND(Sheet1!D77,"edoRl0F8QXY=")</f>
        <v>#VALUE!</v>
      </c>
      <c r="DP2" s="8" t="e">
        <f>IF(Sheet1!$A78:$A78,"edoRl0F8QXc=",0)</f>
        <v>#VALUE!</v>
      </c>
      <c r="DQ2" s="7" t="e">
        <f>AND(Sheet1!A78,"edoRl0F8QXg=")</f>
        <v>#VALUE!</v>
      </c>
      <c r="DR2" s="7" t="e">
        <f>AND(Sheet1!B78,"edoRl0F8QXk=")</f>
        <v>#VALUE!</v>
      </c>
      <c r="DS2" s="7" t="e">
        <f>AND(Sheet1!C78,"edoRl0F8QXo=")</f>
        <v>#VALUE!</v>
      </c>
      <c r="DT2" s="7" t="e">
        <f>AND(Sheet1!D78,"edoRl0F8QXs=")</f>
        <v>#VALUE!</v>
      </c>
      <c r="DU2" s="8" t="e">
        <f>IF(Sheet1!$A79:$A97,"edoRl0F8QXw=",0)</f>
        <v>#VALUE!</v>
      </c>
      <c r="DV2" s="7" t="e">
        <f>AND({},"edoRl0F8QX0=")</f>
        <v>#NAME?</v>
      </c>
      <c r="DW2" s="7" t="e">
        <f>AND({},"edoRl0F8QX4=")</f>
        <v>#NAME?</v>
      </c>
      <c r="DX2" s="7" t="e">
        <f>AND({},"edoRl0F8QX8=")</f>
        <v>#NAME?</v>
      </c>
      <c r="DY2" s="7" t="e">
        <f>AND({},"edoRl0F8QYA=")</f>
        <v>#NAME?</v>
      </c>
      <c r="DZ2" s="8" t="e">
        <f>IF(Sheet1!$A79:$A79,"edoRl0F8QYE=",0)</f>
        <v>#VALUE!</v>
      </c>
      <c r="EA2" s="7" t="e">
        <f>AND(Sheet1!A79,"edoRl0F8QYI=")</f>
        <v>#VALUE!</v>
      </c>
      <c r="EB2" s="7" t="e">
        <f>AND(Sheet1!B79,"edoRl0F8QYM=")</f>
        <v>#VALUE!</v>
      </c>
      <c r="EC2" s="7" t="e">
        <f>AND(Sheet1!C79,"edoRl0F8QYQ=")</f>
        <v>#VALUE!</v>
      </c>
      <c r="ED2" s="7" t="e">
        <f>AND(Sheet1!D79,"edoRl0F8QYU=")</f>
        <v>#VALUE!</v>
      </c>
      <c r="EE2" s="8" t="e">
        <f>IF(Sheet1!$A80:$A80,"edoRl0F8QYY=",0)</f>
        <v>#VALUE!</v>
      </c>
      <c r="EF2" s="7" t="e">
        <f>AND(Sheet1!A80,"edoRl0F8QYc=")</f>
        <v>#VALUE!</v>
      </c>
      <c r="EG2" s="7" t="e">
        <f>AND(Sheet1!B80,"edoRl0F8QYg=")</f>
        <v>#VALUE!</v>
      </c>
      <c r="EH2" s="7" t="e">
        <f>AND(Sheet1!C80,"edoRl0F8QYk=")</f>
        <v>#VALUE!</v>
      </c>
      <c r="EI2" s="7" t="e">
        <f>AND(Sheet1!D80,"edoRl0F8QYo=")</f>
        <v>#VALUE!</v>
      </c>
      <c r="EJ2" s="8" t="e">
        <f>IF(Sheet1!$A81:$A81,"edoRl0F8QYs=",0)</f>
        <v>#VALUE!</v>
      </c>
      <c r="EK2" s="7" t="e">
        <f>AND(Sheet1!A81,"edoRl0F8QYw=")</f>
        <v>#VALUE!</v>
      </c>
      <c r="EL2" s="7" t="e">
        <f>AND(Sheet1!B81,"edoRl0F8QY0=")</f>
        <v>#VALUE!</v>
      </c>
      <c r="EM2" s="7" t="e">
        <f>AND(Sheet1!C81,"edoRl0F8QY4=")</f>
        <v>#VALUE!</v>
      </c>
      <c r="EN2" s="7" t="e">
        <f>AND(Sheet1!D81,"edoRl0F8QY8=")</f>
        <v>#VALUE!</v>
      </c>
      <c r="EO2" s="8" t="e">
        <f>IF(Sheet1!$A82:$A97,"edoRl0F8QZA=",0)</f>
        <v>#VALUE!</v>
      </c>
      <c r="EP2" s="7" t="e">
        <f>AND({},"edoRl0F8QZE=")</f>
        <v>#NAME?</v>
      </c>
      <c r="EQ2" s="7" t="e">
        <f>AND({},"edoRl0F8QZI=")</f>
        <v>#NAME?</v>
      </c>
      <c r="ER2" s="7" t="e">
        <f>AND({},"edoRl0F8QZM=")</f>
        <v>#NAME?</v>
      </c>
      <c r="ES2" s="7" t="e">
        <f>AND({},"edoRl0F8QZQ=")</f>
        <v>#NAME?</v>
      </c>
      <c r="ET2" s="8" t="e">
        <f>IF(Sheet1!$A82:$A82,"edoRl0F8QZU=",0)</f>
        <v>#VALUE!</v>
      </c>
      <c r="EU2" s="7" t="e">
        <f>AND(Sheet1!A82,"edoRl0F8QZY=")</f>
        <v>#VALUE!</v>
      </c>
      <c r="EV2" s="7" t="e">
        <f>AND(Sheet1!B82,"edoRl0F8QZc=")</f>
        <v>#VALUE!</v>
      </c>
      <c r="EW2" s="7" t="e">
        <f>AND(Sheet1!C82,"edoRl0F8QZg=")</f>
        <v>#VALUE!</v>
      </c>
      <c r="EX2" s="7" t="e">
        <f>AND(Sheet1!D82,"edoRl0F8QZk=")</f>
        <v>#VALUE!</v>
      </c>
      <c r="EY2" s="8" t="e">
        <f>IF(Sheet1!$A83:$A97,"edoRl0F8QZo=",0)</f>
        <v>#VALUE!</v>
      </c>
      <c r="EZ2" s="7" t="e">
        <f>AND({},"edoRl0F8QZs=")</f>
        <v>#NAME?</v>
      </c>
      <c r="FA2" s="7" t="e">
        <f>AND({},"edoRl0F8QZw=")</f>
        <v>#NAME?</v>
      </c>
      <c r="FB2" s="7" t="e">
        <f>AND({},"edoRl0F8QZ0=")</f>
        <v>#NAME?</v>
      </c>
      <c r="FC2" s="7" t="e">
        <f>AND({},"edoRl0F8QZ4=")</f>
        <v>#NAME?</v>
      </c>
      <c r="FD2" s="8" t="e">
        <f>IF(Sheet1!$A83:$A83,"edoRl0F8QZ8=",0)</f>
        <v>#VALUE!</v>
      </c>
      <c r="FE2" s="7" t="e">
        <f>AND(Sheet1!A83,"edoRl0F8QaA=")</f>
        <v>#VALUE!</v>
      </c>
      <c r="FF2" s="7" t="e">
        <f>AND(Sheet1!B83,"edoRl0F8QaE=")</f>
        <v>#VALUE!</v>
      </c>
      <c r="FG2" s="7" t="e">
        <f>AND(Sheet1!C83,"edoRl0F8QaI=")</f>
        <v>#VALUE!</v>
      </c>
      <c r="FH2" s="7" t="e">
        <f>AND(Sheet1!D83,"edoRl0F8QaM=")</f>
        <v>#VALUE!</v>
      </c>
      <c r="FI2" s="8" t="e">
        <f>IF(Sheet1!$A84:$A84,"edoRl0F8QaQ=",0)</f>
        <v>#VALUE!</v>
      </c>
      <c r="FJ2" s="7" t="e">
        <f>AND(Sheet1!A84,"edoRl0F8QaU=")</f>
        <v>#VALUE!</v>
      </c>
      <c r="FK2" s="7" t="e">
        <f>AND(Sheet1!B84,"edoRl0F8QaY=")</f>
        <v>#VALUE!</v>
      </c>
      <c r="FL2" s="7" t="e">
        <f>AND(Sheet1!C84,"edoRl0F8Qac=")</f>
        <v>#VALUE!</v>
      </c>
      <c r="FM2" s="7" t="e">
        <f>AND(Sheet1!D84,"edoRl0F8Qag=")</f>
        <v>#VALUE!</v>
      </c>
      <c r="FN2" s="8" t="e">
        <f>IF(Sheet1!$A85:$A85,"edoRl0F8Qak=",0)</f>
        <v>#VALUE!</v>
      </c>
      <c r="FO2" s="7" t="e">
        <f>AND(Sheet1!A85,"edoRl0F8Qao=")</f>
        <v>#VALUE!</v>
      </c>
      <c r="FP2" s="7" t="e">
        <f>AND(Sheet1!B85,"edoRl0F8Qas=")</f>
        <v>#VALUE!</v>
      </c>
      <c r="FQ2" s="7" t="e">
        <f>AND(Sheet1!C85,"edoRl0F8Qaw=")</f>
        <v>#VALUE!</v>
      </c>
      <c r="FR2" s="7" t="e">
        <f>AND(Sheet1!D85,"edoRl0F8Qa0=")</f>
        <v>#VALUE!</v>
      </c>
      <c r="FS2" s="8" t="e">
        <f>IF(Sheet1!$A86:$A86,"edoRl0F8Qa4=",0)</f>
        <v>#VALUE!</v>
      </c>
      <c r="FT2" s="7" t="e">
        <f>AND(Sheet1!A86,"edoRl0F8Qa8=")</f>
        <v>#VALUE!</v>
      </c>
      <c r="FU2" s="7" t="e">
        <f>AND(Sheet1!B86,"edoRl0F8QbA=")</f>
        <v>#VALUE!</v>
      </c>
      <c r="FV2" s="7" t="e">
        <f>AND(Sheet1!C86,"edoRl0F8QbE=")</f>
        <v>#VALUE!</v>
      </c>
      <c r="FW2" s="7" t="e">
        <f>AND(Sheet1!D86,"edoRl0F8QbI=")</f>
        <v>#VALUE!</v>
      </c>
      <c r="FX2" s="8" t="e">
        <f>IF(Sheet1!$A87:$A87,"edoRl0F8QbM=",0)</f>
        <v>#VALUE!</v>
      </c>
      <c r="FY2" s="7" t="e">
        <f>AND(Sheet1!A87,"edoRl0F8QbQ=")</f>
        <v>#VALUE!</v>
      </c>
      <c r="FZ2" s="7" t="e">
        <f>AND(Sheet1!B87,"edoRl0F8QbU=")</f>
        <v>#VALUE!</v>
      </c>
      <c r="GA2" s="7" t="e">
        <f>AND(Sheet1!C87,"edoRl0F8QbY=")</f>
        <v>#VALUE!</v>
      </c>
      <c r="GB2" s="7" t="e">
        <f>AND(Sheet1!D87,"edoRl0F8Qbc=")</f>
        <v>#VALUE!</v>
      </c>
      <c r="GC2" s="8" t="e">
        <f>IF(Sheet1!$A88:$A88,"edoRl0F8Qbg=",0)</f>
        <v>#VALUE!</v>
      </c>
      <c r="GD2" s="7" t="e">
        <f>AND(Sheet1!A88,"edoRl0F8Qbk=")</f>
        <v>#VALUE!</v>
      </c>
      <c r="GE2" s="7" t="e">
        <f>AND(Sheet1!B88,"edoRl0F8Qbo=")</f>
        <v>#VALUE!</v>
      </c>
      <c r="GF2" s="7" t="e">
        <f>AND(Sheet1!C88,"edoRl0F8Qbs=")</f>
        <v>#VALUE!</v>
      </c>
      <c r="GG2" s="7" t="e">
        <f>AND(Sheet1!D88,"edoRl0F8Qbw=")</f>
        <v>#VALUE!</v>
      </c>
      <c r="GH2" s="8" t="e">
        <f>IF(Sheet1!$A89:$A89,"edoRl0F8Qb0=",0)</f>
        <v>#VALUE!</v>
      </c>
      <c r="GI2" s="7" t="e">
        <f>AND(Sheet1!A89,"edoRl0F8Qb4=")</f>
        <v>#VALUE!</v>
      </c>
      <c r="GJ2" s="7" t="e">
        <f>AND(Sheet1!B89,"edoRl0F8Qb8=")</f>
        <v>#VALUE!</v>
      </c>
      <c r="GK2" s="7" t="e">
        <f>AND(Sheet1!C89,"edoRl0F8QcA=")</f>
        <v>#VALUE!</v>
      </c>
      <c r="GL2" s="7" t="e">
        <f>AND(Sheet1!D89,"edoRl0F8QcE=")</f>
        <v>#VALUE!</v>
      </c>
      <c r="GM2" s="8" t="e">
        <f>IF(Sheet1!$A90:$A90,"edoRl0F8QcI=",0)</f>
        <v>#VALUE!</v>
      </c>
      <c r="GN2" s="7" t="e">
        <f>AND(Sheet1!A90,"edoRl0F8QcM=")</f>
        <v>#VALUE!</v>
      </c>
      <c r="GO2" s="7" t="e">
        <f>AND(Sheet1!B90,"edoRl0F8QcQ=")</f>
        <v>#VALUE!</v>
      </c>
      <c r="GP2" s="7" t="e">
        <f>AND(Sheet1!C90,"edoRl0F8QcU=")</f>
        <v>#VALUE!</v>
      </c>
      <c r="GQ2" s="7" t="e">
        <f>AND(Sheet1!D90,"edoRl0F8QcY=")</f>
        <v>#VALUE!</v>
      </c>
      <c r="GR2" s="8" t="e">
        <f>IF(Sheet1!$A91:$A91,"edoRl0F8Qcc=",0)</f>
        <v>#VALUE!</v>
      </c>
      <c r="GS2" s="7" t="e">
        <f>AND(Sheet1!A91,"edoRl0F8Qcg=")</f>
        <v>#VALUE!</v>
      </c>
      <c r="GT2" s="7" t="e">
        <f>AND(Sheet1!B91,"edoRl0F8Qck=")</f>
        <v>#VALUE!</v>
      </c>
      <c r="GU2" s="7" t="e">
        <f>AND(Sheet1!C91,"edoRl0F8Qco=")</f>
        <v>#VALUE!</v>
      </c>
      <c r="GV2" s="7" t="e">
        <f>AND(Sheet1!D91,"edoRl0F8Qcs=")</f>
        <v>#VALUE!</v>
      </c>
      <c r="GW2" s="8" t="e">
        <f>IF(Sheet1!$A92:$A92,"edoRl0F8Qcw=",0)</f>
        <v>#VALUE!</v>
      </c>
      <c r="GX2" s="7" t="e">
        <f>AND(Sheet1!A92,"edoRl0F8Qc0=")</f>
        <v>#VALUE!</v>
      </c>
      <c r="GY2" s="7" t="e">
        <f>AND(Sheet1!B92,"edoRl0F8Qc4=")</f>
        <v>#VALUE!</v>
      </c>
      <c r="GZ2" s="7" t="e">
        <f>AND(Sheet1!C92,"edoRl0F8Qc8=")</f>
        <v>#VALUE!</v>
      </c>
      <c r="HA2" s="7" t="e">
        <f>AND(Sheet1!D92,"edoRl0F8QdA=")</f>
        <v>#VALUE!</v>
      </c>
      <c r="HB2" s="8" t="e">
        <f>IF(Sheet1!$A93:$A93,"edoRl0F8QdE=",0)</f>
        <v>#VALUE!</v>
      </c>
      <c r="HC2" s="7" t="e">
        <f>AND(Sheet1!A93,"edoRl0F8QdI=")</f>
        <v>#VALUE!</v>
      </c>
      <c r="HD2" s="7" t="e">
        <f>AND(Sheet1!B93,"edoRl0F8QdM=")</f>
        <v>#VALUE!</v>
      </c>
      <c r="HE2" s="7" t="e">
        <f>AND(Sheet1!C93,"edoRl0F8QdQ=")</f>
        <v>#VALUE!</v>
      </c>
      <c r="HF2" s="7" t="e">
        <f>AND(Sheet1!D93,"edoRl0F8QdU=")</f>
        <v>#VALUE!</v>
      </c>
      <c r="HG2" s="8" t="e">
        <f>IF(Sheet1!$A94:$A94,"edoRl0F8QdY=",0)</f>
        <v>#VALUE!</v>
      </c>
      <c r="HH2" s="7" t="e">
        <f>AND(Sheet1!A94,"edoRl0F8Qdc=")</f>
        <v>#VALUE!</v>
      </c>
      <c r="HI2" s="7" t="e">
        <f>AND(Sheet1!B94,"edoRl0F8Qdg=")</f>
        <v>#VALUE!</v>
      </c>
      <c r="HJ2" s="7" t="e">
        <f>AND(Sheet1!C94,"edoRl0F8Qdk=")</f>
        <v>#VALUE!</v>
      </c>
      <c r="HK2" s="7" t="e">
        <f>AND(Sheet1!D94,"edoRl0F8Qdo=")</f>
        <v>#VALUE!</v>
      </c>
      <c r="HL2" s="8" t="e">
        <f>IF(Sheet1!$A95:$A95,"edoRl0F8Qds=",0)</f>
        <v>#VALUE!</v>
      </c>
      <c r="HM2" s="7" t="e">
        <f>AND(Sheet1!A95,"edoRl0F8Qdw=")</f>
        <v>#VALUE!</v>
      </c>
      <c r="HN2" s="7" t="e">
        <f>AND(Sheet1!B95,"edoRl0F8Qd0=")</f>
        <v>#VALUE!</v>
      </c>
      <c r="HO2" s="7" t="e">
        <f>AND(Sheet1!C95,"edoRl0F8Qd4=")</f>
        <v>#VALUE!</v>
      </c>
      <c r="HP2" s="7" t="e">
        <f>AND(Sheet1!D95,"edoRl0F8Qd8=")</f>
        <v>#VALUE!</v>
      </c>
      <c r="HQ2" s="8" t="e">
        <f>IF(Sheet1!$A97:$A97,"edoRl0F8QeA=",0)</f>
        <v>#VALUE!</v>
      </c>
      <c r="HR2" s="7" t="e">
        <f>AND({},"edoRl0F8QeE=")</f>
        <v>#NAME?</v>
      </c>
      <c r="HS2" s="7" t="e">
        <f>AND({},"edoRl0F8QeI=")</f>
        <v>#NAME?</v>
      </c>
      <c r="HT2" s="7" t="e">
        <f>AND({},"edoRl0F8QeM=")</f>
        <v>#NAME?</v>
      </c>
      <c r="HU2" s="7" t="e">
        <f>AND({},"edoRl0F8QeQ=")</f>
        <v>#NAME?</v>
      </c>
      <c r="HV2" s="8" t="e">
        <f>IF(Sheet1!$A97:$A97,"edoRl0F8QeU=",0)</f>
        <v>#VALUE!</v>
      </c>
      <c r="HW2" s="7" t="e">
        <f>AND(Sheet1!A97,"edoRl0F8QeY=")</f>
        <v>#VALUE!</v>
      </c>
      <c r="HX2" s="7" t="e">
        <f>AND(Sheet1!B97,"edoRl0F8Qec=")</f>
        <v>#VALUE!</v>
      </c>
      <c r="HY2" s="7" t="e">
        <f>AND(Sheet1!C97,"edoRl0F8Qeg=")</f>
        <v>#VALUE!</v>
      </c>
      <c r="HZ2" s="7" t="e">
        <f>AND(Sheet1!D97,"edoRl0F8Qek=")</f>
        <v>#VALUE!</v>
      </c>
      <c r="IA2" s="8" t="e">
        <f>IF({},"edoRl0F8Qeo=",0)</f>
        <v>#NAME?</v>
      </c>
      <c r="IB2" s="7" t="e">
        <f>AND(Sheet1!A96,"edoRl0F8Qes=")</f>
        <v>#VALUE!</v>
      </c>
      <c r="IC2" s="7" t="e">
        <f>AND(Sheet1!B96,"edoRl0F8Qew=")</f>
        <v>#VALUE!</v>
      </c>
      <c r="ID2" s="7" t="e">
        <f>AND(Sheet1!C96,"edoRl0F8Qe0=")</f>
        <v>#VALUE!</v>
      </c>
      <c r="IE2" s="7" t="e">
        <f>AND(Sheet1!D96,"edoRl0F8Qe4=")</f>
        <v>#VALUE!</v>
      </c>
      <c r="IF2" s="8" t="e">
        <f>IF({},"edoRl0F8Qe8=",0)</f>
        <v>#NAME?</v>
      </c>
      <c r="IG2" s="7" t="e">
        <f>AND({},"edoRl0F8QfA=")</f>
        <v>#NAME?</v>
      </c>
      <c r="IH2" s="7" t="e">
        <f>AND({},"edoRl0F8QfE=")</f>
        <v>#NAME?</v>
      </c>
      <c r="II2" s="7" t="e">
        <f>AND({},"edoRl0F8QfI=")</f>
        <v>#NAME?</v>
      </c>
      <c r="IJ2" s="7" t="e">
        <f>AND({},"edoRl0F8QfM=")</f>
        <v>#NAME?</v>
      </c>
      <c r="IK2" s="8" t="e">
        <f>IF(Sheet1!$A98:$A98,"edoRl0F8QfQ=",0)</f>
        <v>#VALUE!</v>
      </c>
      <c r="IL2" s="7" t="e">
        <f>AND(Sheet1!A98,"edoRl0F8QfU=")</f>
        <v>#VALUE!</v>
      </c>
      <c r="IM2" s="7" t="e">
        <f>AND(Sheet1!B98,"edoRl0F8QfY=")</f>
        <v>#VALUE!</v>
      </c>
      <c r="IN2" s="7" t="e">
        <f>AND(Sheet1!C98,"edoRl0F8Qfc=")</f>
        <v>#VALUE!</v>
      </c>
      <c r="IO2" s="7" t="e">
        <f>AND(Sheet1!D98,"edoRl0F8Qfg=")</f>
        <v>#VALUE!</v>
      </c>
      <c r="IP2" s="8" t="e">
        <f>IF(Sheet1!$A99:$A99,"edoRl0F8Qfk=",0)</f>
        <v>#VALUE!</v>
      </c>
      <c r="IQ2" s="7" t="e">
        <f>AND(Sheet1!A99,"edoRl0F8Qfo=")</f>
        <v>#VALUE!</v>
      </c>
      <c r="IR2" s="7" t="e">
        <f>AND(Sheet1!B99,"edoRl0F8Qfs=")</f>
        <v>#VALUE!</v>
      </c>
      <c r="IS2" s="7" t="e">
        <f>AND(Sheet1!C99,"edoRl0F8Qfw=")</f>
        <v>#VALUE!</v>
      </c>
      <c r="IT2" s="7" t="e">
        <f>AND(Sheet1!D99,"edoRl0F8Qf0=")</f>
        <v>#VALUE!</v>
      </c>
      <c r="IU2" s="8" t="e">
        <f>IF(Sheet1!$A101:$A101,"edoRl0F8Qf4=",0)</f>
        <v>#VALUE!</v>
      </c>
      <c r="IV2" s="7" t="e">
        <f>AND(Sheet1!A101,"edoRl0F8Qf8=")</f>
        <v>#VALUE!</v>
      </c>
    </row>
    <row r="3" spans="1:256" ht="12.75" customHeight="1">
      <c r="A3" s="7" t="e">
        <f>AND(Sheet1!B101,"Xgz/lnzUagA=")</f>
        <v>#VALUE!</v>
      </c>
      <c r="B3" s="7" t="e">
        <f>AND(Sheet1!C101,"Xgz/lnzUagE=")</f>
        <v>#VALUE!</v>
      </c>
      <c r="C3" s="7" t="e">
        <f>AND(Sheet1!D101,"Xgz/lnzUagI=")</f>
        <v>#VALUE!</v>
      </c>
      <c r="D3" s="7" t="e">
        <f>IF(Sheet1!$A102:$A102,"Xgz/lnzUagM=",0)</f>
        <v>#VALUE!</v>
      </c>
      <c r="E3" s="7" t="e">
        <f>AND(Sheet1!A102,"Xgz/lnzUagQ=")</f>
        <v>#VALUE!</v>
      </c>
      <c r="F3" s="7" t="e">
        <f>AND(Sheet1!B102,"Xgz/lnzUagU=")</f>
        <v>#VALUE!</v>
      </c>
      <c r="G3" s="7" t="e">
        <f>AND(Sheet1!C102,"Xgz/lnzUagY=")</f>
        <v>#VALUE!</v>
      </c>
      <c r="H3" s="7" t="e">
        <f>AND(Sheet1!D102,"Xgz/lnzUagc=")</f>
        <v>#VALUE!</v>
      </c>
      <c r="I3" s="8" t="e">
        <f>IF({},"Xgz/lnzUagg=",0)</f>
        <v>#NAME?</v>
      </c>
      <c r="J3" s="7" t="e">
        <f>AND({},"Xgz/lnzUagk=")</f>
        <v>#NAME?</v>
      </c>
      <c r="K3" s="7" t="e">
        <f>AND({},"Xgz/lnzUago=")</f>
        <v>#NAME?</v>
      </c>
      <c r="L3" s="7" t="e">
        <f>AND({},"Xgz/lnzUags=")</f>
        <v>#NAME?</v>
      </c>
      <c r="M3" s="7" t="e">
        <f>AND({},"Xgz/lnzUagw=")</f>
        <v>#NAME?</v>
      </c>
      <c r="N3" s="8" t="e">
        <f>IF(Sheet1!$A103:$A103,"Xgz/lnzUag0=",0)</f>
        <v>#VALUE!</v>
      </c>
      <c r="O3" s="7" t="e">
        <f>AND(Sheet1!A103,"Xgz/lnzUag4=")</f>
        <v>#VALUE!</v>
      </c>
      <c r="P3" s="7" t="e">
        <f>AND(Sheet1!B103,"Xgz/lnzUag8=")</f>
        <v>#VALUE!</v>
      </c>
      <c r="Q3" s="7" t="e">
        <f>AND(Sheet1!C103,"Xgz/lnzUahA=")</f>
        <v>#VALUE!</v>
      </c>
      <c r="R3" s="7" t="e">
        <f>AND(Sheet1!D103,"Xgz/lnzUahE=")</f>
        <v>#VALUE!</v>
      </c>
      <c r="S3" s="8" t="e">
        <f>IF({},"Xgz/lnzUahI=",0)</f>
        <v>#NAME?</v>
      </c>
      <c r="T3" s="7" t="e">
        <f>AND({},"Xgz/lnzUahM=")</f>
        <v>#NAME?</v>
      </c>
      <c r="U3" s="7" t="e">
        <f>AND({},"Xgz/lnzUahQ=")</f>
        <v>#NAME?</v>
      </c>
      <c r="V3" s="7" t="e">
        <f>AND({},"Xgz/lnzUahU=")</f>
        <v>#NAME?</v>
      </c>
      <c r="W3" s="7" t="e">
        <f>AND({},"Xgz/lnzUahY=")</f>
        <v>#NAME?</v>
      </c>
      <c r="X3" s="8" t="e">
        <f>IF(Sheet1!$A106:$A106,"Xgz/lnzUahc=",0)</f>
        <v>#VALUE!</v>
      </c>
      <c r="Y3" s="7" t="e">
        <f>AND(Sheet1!A106,"Xgz/lnzUahg=")</f>
        <v>#VALUE!</v>
      </c>
      <c r="Z3" s="7" t="e">
        <f>AND(Sheet1!B106,"Xgz/lnzUahk=")</f>
        <v>#VALUE!</v>
      </c>
      <c r="AA3" s="7" t="e">
        <f>AND(Sheet1!C106,"Xgz/lnzUaho=")</f>
        <v>#VALUE!</v>
      </c>
      <c r="AB3" s="7" t="e">
        <f>AND(Sheet1!D106,"Xgz/lnzUahs=")</f>
        <v>#VALUE!</v>
      </c>
      <c r="AC3" s="8" t="e">
        <f>IF(Sheet1!$A114:$A114,"Xgz/lnzUahw=",0)</f>
        <v>#VALUE!</v>
      </c>
      <c r="AD3" s="7" t="e">
        <f>AND(Sheet1!A114,"Xgz/lnzUah0=")</f>
        <v>#VALUE!</v>
      </c>
      <c r="AE3" s="7" t="e">
        <f>AND(Sheet1!B114,"Xgz/lnzUah4=")</f>
        <v>#VALUE!</v>
      </c>
      <c r="AF3" s="7" t="e">
        <f>AND(Sheet1!C114,"Xgz/lnzUah8=")</f>
        <v>#VALUE!</v>
      </c>
      <c r="AG3" s="7" t="e">
        <f>AND(Sheet1!D114,"Xgz/lnzUaiA=")</f>
        <v>#VALUE!</v>
      </c>
      <c r="AH3" s="8" t="e">
        <f>IF(Sheet1!$A119:$A119,"Xgz/lnzUaiE=",0)</f>
        <v>#VALUE!</v>
      </c>
      <c r="AI3" s="7" t="e">
        <f>AND(Sheet1!A119,"Xgz/lnzUaiI=")</f>
        <v>#VALUE!</v>
      </c>
      <c r="AJ3" s="7" t="e">
        <f>AND(Sheet1!B119,"Xgz/lnzUaiM=")</f>
        <v>#VALUE!</v>
      </c>
      <c r="AK3" s="7" t="e">
        <f>AND(Sheet1!C119,"Xgz/lnzUaiQ=")</f>
        <v>#VALUE!</v>
      </c>
      <c r="AL3" s="7" t="e">
        <f>AND(Sheet1!D119,"Xgz/lnzUaiU=")</f>
        <v>#VALUE!</v>
      </c>
      <c r="AM3" s="8" t="e">
        <f>IF(Sheet1!$A121:$A121,"Xgz/lnzUaiY=",0)</f>
        <v>#VALUE!</v>
      </c>
      <c r="AN3" s="7" t="e">
        <f>AND(Sheet1!A121,"Xgz/lnzUaic=")</f>
        <v>#VALUE!</v>
      </c>
      <c r="AO3" s="7" t="e">
        <f>AND(Sheet1!B121,"Xgz/lnzUaig=")</f>
        <v>#VALUE!</v>
      </c>
      <c r="AP3" s="7" t="e">
        <f>AND(Sheet1!C121,"Xgz/lnzUaik=")</f>
        <v>#VALUE!</v>
      </c>
      <c r="AQ3" s="7" t="e">
        <f>AND(Sheet1!D121,"Xgz/lnzUaio=")</f>
        <v>#VALUE!</v>
      </c>
      <c r="AR3" s="8" t="e">
        <f>IF(Sheet1!$A127:$A127,"Xgz/lnzUais=",0)</f>
        <v>#VALUE!</v>
      </c>
      <c r="AS3" s="7" t="e">
        <f>AND(Sheet1!A127,"Xgz/lnzUaiw=")</f>
        <v>#VALUE!</v>
      </c>
      <c r="AT3" s="7" t="e">
        <f>AND(Sheet1!B127,"Xgz/lnzUai0=")</f>
        <v>#VALUE!</v>
      </c>
      <c r="AU3" s="7" t="e">
        <f>AND(Sheet1!C127,"Xgz/lnzUai4=")</f>
        <v>#VALUE!</v>
      </c>
      <c r="AV3" s="7" t="e">
        <f>AND(Sheet1!D127,"Xgz/lnzUai8=")</f>
        <v>#VALUE!</v>
      </c>
      <c r="AW3" s="8" t="e">
        <f>IF(Sheet1!$A128:$A128,"Xgz/lnzUajA=",0)</f>
        <v>#VALUE!</v>
      </c>
      <c r="AX3" s="7" t="e">
        <f>AND(Sheet1!A128,"Xgz/lnzUajE=")</f>
        <v>#VALUE!</v>
      </c>
      <c r="AY3" s="7" t="e">
        <f>AND(Sheet1!B128,"Xgz/lnzUajI=")</f>
        <v>#VALUE!</v>
      </c>
      <c r="AZ3" s="7" t="e">
        <f>AND(Sheet1!C128,"Xgz/lnzUajM=")</f>
        <v>#VALUE!</v>
      </c>
      <c r="BA3" s="7" t="e">
        <f>AND(Sheet1!D128,"Xgz/lnzUajQ=")</f>
        <v>#VALUE!</v>
      </c>
      <c r="BB3" s="8" t="e">
        <f>IF(Sheet1!$A129:$A289,"Xgz/lnzUajU=",0)</f>
        <v>#VALUE!</v>
      </c>
      <c r="BC3" s="7" t="e">
        <f>AND(Sheet1!A115,"Xgz/lnzUajY=")</f>
        <v>#VALUE!</v>
      </c>
      <c r="BD3" s="7" t="e">
        <f>AND(Sheet1!B115,"Xgz/lnzUajc=")</f>
        <v>#VALUE!</v>
      </c>
      <c r="BE3" s="7" t="e">
        <f>AND(Sheet1!C115,"Xgz/lnzUajg=")</f>
        <v>#VALUE!</v>
      </c>
      <c r="BF3" s="7" t="e">
        <f>AND(Sheet1!D115,"Xgz/lnzUajk=")</f>
        <v>#VALUE!</v>
      </c>
      <c r="BG3" s="8" t="e">
        <f>IF(Sheet1!$A129:$A129,"Xgz/lnzUajo=",0)</f>
        <v>#VALUE!</v>
      </c>
      <c r="BH3" s="7" t="e">
        <f>AND(Sheet1!A129,"Xgz/lnzUajs=")</f>
        <v>#VALUE!</v>
      </c>
      <c r="BI3" s="7" t="e">
        <f>AND(Sheet1!B129,"Xgz/lnzUajw=")</f>
        <v>#VALUE!</v>
      </c>
      <c r="BJ3" s="7" t="e">
        <f>AND(Sheet1!C129,"Xgz/lnzUaj0=")</f>
        <v>#VALUE!</v>
      </c>
      <c r="BK3" s="7" t="e">
        <f>AND(Sheet1!D129,"Xgz/lnzUaj4=")</f>
        <v>#VALUE!</v>
      </c>
      <c r="BL3" s="8" t="e">
        <f>IF(Sheet1!$A133:$A133,"Xgz/lnzUaj8=",0)</f>
        <v>#VALUE!</v>
      </c>
      <c r="BM3" s="7" t="e">
        <f>AND(Sheet1!A133,"Xgz/lnzUakA=")</f>
        <v>#VALUE!</v>
      </c>
      <c r="BN3" s="7" t="e">
        <f>AND(Sheet1!B133,"Xgz/lnzUakE=")</f>
        <v>#VALUE!</v>
      </c>
      <c r="BO3" s="7" t="e">
        <f>AND(Sheet1!C133,"Xgz/lnzUakI=")</f>
        <v>#VALUE!</v>
      </c>
      <c r="BP3" s="7" t="e">
        <f>AND(Sheet1!D133,"Xgz/lnzUakM=")</f>
        <v>#VALUE!</v>
      </c>
      <c r="BQ3" s="8" t="e">
        <f>IF(Sheet1!$A153:$A153,"Xgz/lnzUakQ=",0)</f>
        <v>#VALUE!</v>
      </c>
      <c r="BR3" s="7" t="e">
        <f>AND(Sheet1!A153,"Xgz/lnzUakU=")</f>
        <v>#VALUE!</v>
      </c>
      <c r="BS3" s="7" t="e">
        <f>AND(Sheet1!B153,"Xgz/lnzUakY=")</f>
        <v>#VALUE!</v>
      </c>
      <c r="BT3" s="7" t="e">
        <f>AND(Sheet1!C153,"Xgz/lnzUakc=")</f>
        <v>#VALUE!</v>
      </c>
      <c r="BU3" s="7" t="e">
        <f>AND(Sheet1!D153,"Xgz/lnzUakg=")</f>
        <v>#VALUE!</v>
      </c>
      <c r="BV3" s="8" t="e">
        <f>IF(Sheet1!$A155:$A155,"Xgz/lnzUakk=",0)</f>
        <v>#VALUE!</v>
      </c>
      <c r="BW3" s="7" t="e">
        <f>AND(Sheet1!A155,"Xgz/lnzUako=")</f>
        <v>#VALUE!</v>
      </c>
      <c r="BX3" s="7" t="e">
        <f>AND(Sheet1!B155,"Xgz/lnzUaks=")</f>
        <v>#VALUE!</v>
      </c>
      <c r="BY3" s="7" t="e">
        <f>AND(Sheet1!C155,"Xgz/lnzUakw=")</f>
        <v>#VALUE!</v>
      </c>
      <c r="BZ3" s="7" t="e">
        <f>AND(Sheet1!D155,"Xgz/lnzUak0=")</f>
        <v>#VALUE!</v>
      </c>
      <c r="CA3" s="8" t="e">
        <f>IF(Sheet1!$A169:$A169,"Xgz/lnzUak4=",0)</f>
        <v>#VALUE!</v>
      </c>
      <c r="CB3" s="7" t="e">
        <f>AND(Sheet1!A169,"Xgz/lnzUak8=")</f>
        <v>#VALUE!</v>
      </c>
      <c r="CC3" s="7" t="e">
        <f>AND(Sheet1!B169,"Xgz/lnzUalA=")</f>
        <v>#VALUE!</v>
      </c>
      <c r="CD3" s="7" t="e">
        <f>AND(Sheet1!C169,"Xgz/lnzUalE=")</f>
        <v>#VALUE!</v>
      </c>
      <c r="CE3" s="7" t="e">
        <f>AND(Sheet1!D169,"Xgz/lnzUalI=")</f>
        <v>#VALUE!</v>
      </c>
      <c r="CF3" s="8" t="e">
        <f>IF(Sheet1!$A171:$A171,"Xgz/lnzUalM=",0)</f>
        <v>#VALUE!</v>
      </c>
      <c r="CG3" s="7" t="e">
        <f>AND(Sheet1!A171,"Xgz/lnzUalQ=")</f>
        <v>#VALUE!</v>
      </c>
      <c r="CH3" s="7" t="e">
        <f>AND(Sheet1!B171,"Xgz/lnzUalU=")</f>
        <v>#VALUE!</v>
      </c>
      <c r="CI3" s="7" t="e">
        <f>AND(Sheet1!C171,"Xgz/lnzUalY=")</f>
        <v>#VALUE!</v>
      </c>
      <c r="CJ3" s="7" t="e">
        <f>AND(Sheet1!D171,"Xgz/lnzUalc=")</f>
        <v>#VALUE!</v>
      </c>
      <c r="CK3" s="8" t="e">
        <f>IF(Sheet1!$A174:$A174,"Xgz/lnzUalg=",0)</f>
        <v>#VALUE!</v>
      </c>
      <c r="CL3" s="7" t="e">
        <f>AND(Sheet1!A174,"Xgz/lnzUalk=")</f>
        <v>#VALUE!</v>
      </c>
      <c r="CM3" s="7" t="e">
        <f>AND(Sheet1!B174,"Xgz/lnzUalo=")</f>
        <v>#VALUE!</v>
      </c>
      <c r="CN3" s="7" t="e">
        <f>AND(Sheet1!C174,"Xgz/lnzUals=")</f>
        <v>#VALUE!</v>
      </c>
      <c r="CO3" s="7" t="e">
        <f>AND(Sheet1!D174,"Xgz/lnzUalw=")</f>
        <v>#VALUE!</v>
      </c>
      <c r="CP3" s="8" t="e">
        <f>IF(Sheet1!$A180:$A180,"Xgz/lnzUal0=",0)</f>
        <v>#VALUE!</v>
      </c>
      <c r="CQ3" s="7" t="e">
        <f>AND(Sheet1!A180,"Xgz/lnzUal4=")</f>
        <v>#VALUE!</v>
      </c>
      <c r="CR3" s="7" t="e">
        <f>AND(Sheet1!B180,"Xgz/lnzUal8=")</f>
        <v>#VALUE!</v>
      </c>
      <c r="CS3" s="7" t="e">
        <f>AND(Sheet1!C180,"Xgz/lnzUamA=")</f>
        <v>#VALUE!</v>
      </c>
      <c r="CT3" s="7" t="e">
        <f>AND(Sheet1!D180,"Xgz/lnzUamE=")</f>
        <v>#VALUE!</v>
      </c>
      <c r="CU3" s="8" t="e">
        <f>IF(Sheet1!$A186:$A186,"Xgz/lnzUamI=",0)</f>
        <v>#VALUE!</v>
      </c>
      <c r="CV3" s="7" t="e">
        <f>AND(Sheet1!A186,"Xgz/lnzUamM=")</f>
        <v>#VALUE!</v>
      </c>
      <c r="CW3" s="7" t="e">
        <f>AND(Sheet1!B186,"Xgz/lnzUamQ=")</f>
        <v>#VALUE!</v>
      </c>
      <c r="CX3" s="7" t="e">
        <f>AND(Sheet1!C186,"Xgz/lnzUamU=")</f>
        <v>#VALUE!</v>
      </c>
      <c r="CY3" s="7" t="e">
        <f>AND(Sheet1!D186,"Xgz/lnzUamY=")</f>
        <v>#VALUE!</v>
      </c>
      <c r="CZ3" s="8" t="e">
        <f>IF(Sheet1!$A187:$A187,"Xgz/lnzUamc=",0)</f>
        <v>#VALUE!</v>
      </c>
      <c r="DA3" s="7" t="e">
        <f>AND(Sheet1!A187,"Xgz/lnzUamg=")</f>
        <v>#VALUE!</v>
      </c>
      <c r="DB3" s="7" t="e">
        <f>AND(Sheet1!B187,"Xgz/lnzUamk=")</f>
        <v>#VALUE!</v>
      </c>
      <c r="DC3" s="7" t="e">
        <f>AND(Sheet1!C187,"Xgz/lnzUamo=")</f>
        <v>#VALUE!</v>
      </c>
      <c r="DD3" s="7" t="e">
        <f>AND(Sheet1!D187,"Xgz/lnzUams=")</f>
        <v>#VALUE!</v>
      </c>
      <c r="DE3" s="8" t="e">
        <f>IF(Sheet1!$A188:$A188,"Xgz/lnzUamw=",0)</f>
        <v>#VALUE!</v>
      </c>
      <c r="DF3" s="7" t="e">
        <f>AND(Sheet1!A188,"Xgz/lnzUam0=")</f>
        <v>#VALUE!</v>
      </c>
      <c r="DG3" s="7" t="e">
        <f>AND(Sheet1!B188,"Xgz/lnzUam4=")</f>
        <v>#VALUE!</v>
      </c>
      <c r="DH3" s="7" t="e">
        <f>AND(Sheet1!C188,"Xgz/lnzUam8=")</f>
        <v>#VALUE!</v>
      </c>
      <c r="DI3" s="7" t="e">
        <f>AND(Sheet1!D188,"Xgz/lnzUanA=")</f>
        <v>#VALUE!</v>
      </c>
      <c r="DJ3" s="8" t="e">
        <f>IF(Sheet1!$A189:$A189,"Xgz/lnzUanE=",0)</f>
        <v>#VALUE!</v>
      </c>
      <c r="DK3" s="7" t="e">
        <f>AND(Sheet1!A189,"Xgz/lnzUanI=")</f>
        <v>#VALUE!</v>
      </c>
      <c r="DL3" s="7" t="e">
        <f>AND(Sheet1!B189,"Xgz/lnzUanM=")</f>
        <v>#VALUE!</v>
      </c>
      <c r="DM3" s="7" t="e">
        <f>AND(Sheet1!C189,"Xgz/lnzUanQ=")</f>
        <v>#VALUE!</v>
      </c>
      <c r="DN3" s="7" t="e">
        <f>AND(Sheet1!D189,"Xgz/lnzUanU=")</f>
        <v>#VALUE!</v>
      </c>
      <c r="DO3" s="8" t="e">
        <f>IF(Sheet1!$A202:$A202,"Xgz/lnzUanY=",0)</f>
        <v>#VALUE!</v>
      </c>
      <c r="DP3" s="7" t="e">
        <f>AND(Sheet1!A202,"Xgz/lnzUanc=")</f>
        <v>#VALUE!</v>
      </c>
      <c r="DQ3" s="7" t="e">
        <f>AND(Sheet1!B202,"Xgz/lnzUang=")</f>
        <v>#VALUE!</v>
      </c>
      <c r="DR3" s="7" t="e">
        <f>AND(Sheet1!C202,"Xgz/lnzUank=")</f>
        <v>#VALUE!</v>
      </c>
      <c r="DS3" s="7" t="e">
        <f>AND(Sheet1!D202,"Xgz/lnzUano=")</f>
        <v>#VALUE!</v>
      </c>
      <c r="DT3" s="8" t="e">
        <f>IF(Sheet1!$A207:$A207,"Xgz/lnzUans=",0)</f>
        <v>#VALUE!</v>
      </c>
      <c r="DU3" s="7" t="e">
        <f>AND(Sheet1!A207,"Xgz/lnzUanw=")</f>
        <v>#VALUE!</v>
      </c>
      <c r="DV3" s="7" t="e">
        <f>AND(Sheet1!B207,"Xgz/lnzUan0=")</f>
        <v>#VALUE!</v>
      </c>
      <c r="DW3" s="7" t="e">
        <f>AND(Sheet1!C207,"Xgz/lnzUan4=")</f>
        <v>#VALUE!</v>
      </c>
      <c r="DX3" s="7" t="e">
        <f>AND(Sheet1!D207,"Xgz/lnzUan8=")</f>
        <v>#VALUE!</v>
      </c>
      <c r="DY3" s="8" t="e">
        <f>IF(Sheet1!$A214:$A214,"Xgz/lnzUaoA=",0)</f>
        <v>#VALUE!</v>
      </c>
      <c r="DZ3" s="7" t="e">
        <f>AND(Sheet1!A214,"Xgz/lnzUaoE=")</f>
        <v>#VALUE!</v>
      </c>
      <c r="EA3" s="7" t="e">
        <f>AND(Sheet1!B214,"Xgz/lnzUaoI=")</f>
        <v>#VALUE!</v>
      </c>
      <c r="EB3" s="7" t="e">
        <f>AND(Sheet1!C214,"Xgz/lnzUaoM=")</f>
        <v>#VALUE!</v>
      </c>
      <c r="EC3" s="7" t="e">
        <f>AND(Sheet1!D214,"Xgz/lnzUaoQ=")</f>
        <v>#VALUE!</v>
      </c>
      <c r="ED3" s="8" t="e">
        <f>IF(Sheet1!$A215:$A215,"Xgz/lnzUaoU=",0)</f>
        <v>#VALUE!</v>
      </c>
      <c r="EE3" s="7" t="e">
        <f>AND(Sheet1!A215,"Xgz/lnzUaoY=")</f>
        <v>#VALUE!</v>
      </c>
      <c r="EF3" s="7" t="e">
        <f>AND(Sheet1!B215,"Xgz/lnzUaoc=")</f>
        <v>#VALUE!</v>
      </c>
      <c r="EG3" s="7" t="e">
        <f>AND(Sheet1!C215,"Xgz/lnzUaog=")</f>
        <v>#VALUE!</v>
      </c>
      <c r="EH3" s="7" t="e">
        <f>AND(Sheet1!D215,"Xgz/lnzUaok=")</f>
        <v>#VALUE!</v>
      </c>
      <c r="EI3" s="8" t="e">
        <f>IF(Sheet1!$A217:$A217,"Xgz/lnzUaoo=",0)</f>
        <v>#VALUE!</v>
      </c>
      <c r="EJ3" s="7" t="e">
        <f>AND(Sheet1!A217,"Xgz/lnzUaos=")</f>
        <v>#VALUE!</v>
      </c>
      <c r="EK3" s="7" t="e">
        <f>AND(Sheet1!B217,"Xgz/lnzUaow=")</f>
        <v>#VALUE!</v>
      </c>
      <c r="EL3" s="7" t="e">
        <f>AND(Sheet1!C217,"Xgz/lnzUao0=")</f>
        <v>#VALUE!</v>
      </c>
      <c r="EM3" s="7" t="e">
        <f>AND(Sheet1!D217,"Xgz/lnzUao4=")</f>
        <v>#VALUE!</v>
      </c>
      <c r="EN3" s="8" t="e">
        <f>IF(Sheet1!$A218:$A218,"Xgz/lnzUao8=",0)</f>
        <v>#VALUE!</v>
      </c>
      <c r="EO3" s="7" t="e">
        <f>AND(Sheet1!A218,"Xgz/lnzUapA=")</f>
        <v>#VALUE!</v>
      </c>
      <c r="EP3" s="7" t="e">
        <f>AND(Sheet1!B218,"Xgz/lnzUapE=")</f>
        <v>#VALUE!</v>
      </c>
      <c r="EQ3" s="7" t="e">
        <f>AND(Sheet1!C218,"Xgz/lnzUapI=")</f>
        <v>#VALUE!</v>
      </c>
      <c r="ER3" s="7" t="e">
        <f>AND(Sheet1!D218,"Xgz/lnzUapM=")</f>
        <v>#VALUE!</v>
      </c>
      <c r="ES3" s="8" t="e">
        <f>IF(Sheet1!$A219:$A219,"Xgz/lnzUapQ=",0)</f>
        <v>#VALUE!</v>
      </c>
      <c r="ET3" s="7" t="e">
        <f>AND(Sheet1!A219,"Xgz/lnzUapU=")</f>
        <v>#VALUE!</v>
      </c>
      <c r="EU3" s="7" t="e">
        <f>AND(Sheet1!B219,"Xgz/lnzUapY=")</f>
        <v>#VALUE!</v>
      </c>
      <c r="EV3" s="7" t="e">
        <f>AND(Sheet1!C219,"Xgz/lnzUapc=")</f>
        <v>#VALUE!</v>
      </c>
      <c r="EW3" s="7" t="e">
        <f>AND(Sheet1!D219,"Xgz/lnzUapg=")</f>
        <v>#VALUE!</v>
      </c>
      <c r="EX3" s="8" t="e">
        <f>IF(Sheet1!$A225:$A225,"Xgz/lnzUapk=",0)</f>
        <v>#VALUE!</v>
      </c>
      <c r="EY3" s="7" t="e">
        <f>AND(Sheet1!A225,"Xgz/lnzUapo=")</f>
        <v>#VALUE!</v>
      </c>
      <c r="EZ3" s="7" t="e">
        <f>AND(Sheet1!B225,"Xgz/lnzUaps=")</f>
        <v>#VALUE!</v>
      </c>
      <c r="FA3" s="7" t="e">
        <f>AND(Sheet1!C225,"Xgz/lnzUapw=")</f>
        <v>#VALUE!</v>
      </c>
      <c r="FB3" s="7" t="e">
        <f>AND(Sheet1!D225,"Xgz/lnzUap0=")</f>
        <v>#VALUE!</v>
      </c>
      <c r="FC3" s="8" t="e">
        <f>IF(Sheet1!$A226:$A298,"Xgz/lnzUap4=",0)</f>
        <v>#VALUE!</v>
      </c>
      <c r="FD3" s="7" t="e">
        <f>AND(Sheet1!A298,"Xgz/lnzUap8=")</f>
        <v>#VALUE!</v>
      </c>
      <c r="FE3" s="7" t="e">
        <f>AND(Sheet1!B298,"Xgz/lnzUaqA=")</f>
        <v>#VALUE!</v>
      </c>
      <c r="FF3" s="7" t="e">
        <f>AND(Sheet1!C298,"Xgz/lnzUaqE=")</f>
        <v>#VALUE!</v>
      </c>
      <c r="FG3" s="7" t="e">
        <f>AND(Sheet1!D298,"Xgz/lnzUaqI=")</f>
        <v>#VALUE!</v>
      </c>
      <c r="FH3" s="8" t="e">
        <f>IF(Sheet1!$A226:$A226,"Xgz/lnzUaqM=",0)</f>
        <v>#VALUE!</v>
      </c>
      <c r="FI3" s="7" t="e">
        <f>AND(Sheet1!A226,"Xgz/lnzUaqQ=")</f>
        <v>#VALUE!</v>
      </c>
      <c r="FJ3" s="7" t="e">
        <f>AND(Sheet1!B226,"Xgz/lnzUaqU=")</f>
        <v>#VALUE!</v>
      </c>
      <c r="FK3" s="7" t="e">
        <f>AND(Sheet1!C226,"Xgz/lnzUaqY=")</f>
        <v>#VALUE!</v>
      </c>
      <c r="FL3" s="7" t="e">
        <f>AND(Sheet1!D226,"Xgz/lnzUaqc=")</f>
        <v>#VALUE!</v>
      </c>
      <c r="FM3" s="8" t="e">
        <f>IF(Sheet1!$A228:$A228,"Xgz/lnzUaqg=",0)</f>
        <v>#VALUE!</v>
      </c>
      <c r="FN3" s="7" t="e">
        <f>AND(Sheet1!A228,"Xgz/lnzUaqk=")</f>
        <v>#VALUE!</v>
      </c>
      <c r="FO3" s="7" t="e">
        <f>AND(Sheet1!B228,"Xgz/lnzUaqo=")</f>
        <v>#VALUE!</v>
      </c>
      <c r="FP3" s="7" t="e">
        <f>AND(Sheet1!C228,"Xgz/lnzUaqs=")</f>
        <v>#VALUE!</v>
      </c>
      <c r="FQ3" s="7" t="e">
        <f>AND(Sheet1!D228,"Xgz/lnzUaqw=")</f>
        <v>#VALUE!</v>
      </c>
      <c r="FR3" s="8" t="e">
        <f>IF(Sheet1!$A230:$A230,"Xgz/lnzUaq0=",0)</f>
        <v>#VALUE!</v>
      </c>
      <c r="FS3" s="7" t="e">
        <f>AND(Sheet1!A230,"Xgz/lnzUaq4=")</f>
        <v>#VALUE!</v>
      </c>
      <c r="FT3" s="7" t="e">
        <f>AND(Sheet1!B230,"Xgz/lnzUaq8=")</f>
        <v>#VALUE!</v>
      </c>
      <c r="FU3" s="7" t="e">
        <f>AND(Sheet1!C230,"Xgz/lnzUarA=")</f>
        <v>#VALUE!</v>
      </c>
      <c r="FV3" s="7" t="e">
        <f>AND(Sheet1!D230,"Xgz/lnzUarE=")</f>
        <v>#VALUE!</v>
      </c>
      <c r="FW3" s="8" t="e">
        <f>IF(Sheet1!$A232:$A232,"Xgz/lnzUarI=",0)</f>
        <v>#VALUE!</v>
      </c>
      <c r="FX3" s="7" t="e">
        <f>AND(Sheet1!A232,"Xgz/lnzUarM=")</f>
        <v>#VALUE!</v>
      </c>
      <c r="FY3" s="7" t="e">
        <f>AND(Sheet1!B232,"Xgz/lnzUarQ=")</f>
        <v>#VALUE!</v>
      </c>
      <c r="FZ3" s="7" t="e">
        <f>AND(Sheet1!C232,"Xgz/lnzUarU=")</f>
        <v>#VALUE!</v>
      </c>
      <c r="GA3" s="7" t="e">
        <f>AND(Sheet1!D232,"Xgz/lnzUarY=")</f>
        <v>#VALUE!</v>
      </c>
      <c r="GB3" s="8" t="e">
        <f>IF(Sheet1!$A234:$A234,"Xgz/lnzUarc=",0)</f>
        <v>#VALUE!</v>
      </c>
      <c r="GC3" s="7" t="e">
        <f>AND(Sheet1!A234,"Xgz/lnzUarg=")</f>
        <v>#VALUE!</v>
      </c>
      <c r="GD3" s="7" t="e">
        <f>AND(Sheet1!B234,"Xgz/lnzUark=")</f>
        <v>#VALUE!</v>
      </c>
      <c r="GE3" s="7" t="e">
        <f>AND(Sheet1!C234,"Xgz/lnzUaro=")</f>
        <v>#VALUE!</v>
      </c>
      <c r="GF3" s="7" t="e">
        <f>AND(Sheet1!D234,"Xgz/lnzUars=")</f>
        <v>#VALUE!</v>
      </c>
      <c r="GG3" s="8" t="e">
        <f>IF(Sheet1!$A235:$A235,"Xgz/lnzUarw=",0)</f>
        <v>#VALUE!</v>
      </c>
      <c r="GH3" s="7" t="e">
        <f>AND(Sheet1!A235,"Xgz/lnzUar0=")</f>
        <v>#VALUE!</v>
      </c>
      <c r="GI3" s="7" t="e">
        <f>AND(Sheet1!B235,"Xgz/lnzUar4=")</f>
        <v>#VALUE!</v>
      </c>
      <c r="GJ3" s="7" t="e">
        <f>AND(Sheet1!C235,"Xgz/lnzUar8=")</f>
        <v>#VALUE!</v>
      </c>
      <c r="GK3" s="7" t="e">
        <f>AND(Sheet1!D235,"Xgz/lnzUasA=")</f>
        <v>#VALUE!</v>
      </c>
      <c r="GL3" s="8" t="e">
        <f>IF(Sheet1!$A236:$A236,"Xgz/lnzUasE=",0)</f>
        <v>#VALUE!</v>
      </c>
      <c r="GM3" s="7" t="e">
        <f>AND(Sheet1!A236,"Xgz/lnzUasI=")</f>
        <v>#VALUE!</v>
      </c>
      <c r="GN3" s="7" t="e">
        <f>AND(Sheet1!B236,"Xgz/lnzUasM=")</f>
        <v>#VALUE!</v>
      </c>
      <c r="GO3" s="7" t="e">
        <f>AND(Sheet1!C236,"Xgz/lnzUasQ=")</f>
        <v>#VALUE!</v>
      </c>
      <c r="GP3" s="7" t="e">
        <f>AND(Sheet1!D236,"Xgz/lnzUasU=")</f>
        <v>#VALUE!</v>
      </c>
      <c r="GQ3" s="8" t="e">
        <f>IF(Sheet1!$A237:$A237,"Xgz/lnzUasY=",0)</f>
        <v>#VALUE!</v>
      </c>
      <c r="GR3" s="7" t="e">
        <f>AND(Sheet1!A237,"Xgz/lnzUasc=")</f>
        <v>#VALUE!</v>
      </c>
      <c r="GS3" s="7" t="e">
        <f>AND(Sheet1!B237,"Xgz/lnzUasg=")</f>
        <v>#VALUE!</v>
      </c>
      <c r="GT3" s="7" t="e">
        <f>AND(Sheet1!C237,"Xgz/lnzUask=")</f>
        <v>#VALUE!</v>
      </c>
      <c r="GU3" s="7" t="e">
        <f>AND(Sheet1!D237,"Xgz/lnzUaso=")</f>
        <v>#VALUE!</v>
      </c>
      <c r="GV3" s="8" t="e">
        <f>IF(Sheet1!$A238:$A238,"Xgz/lnzUass=",0)</f>
        <v>#VALUE!</v>
      </c>
      <c r="GW3" s="7" t="e">
        <f>AND(Sheet1!A238,"Xgz/lnzUasw=")</f>
        <v>#VALUE!</v>
      </c>
      <c r="GX3" s="7" t="e">
        <f>AND(Sheet1!B238,"Xgz/lnzUas0=")</f>
        <v>#VALUE!</v>
      </c>
      <c r="GY3" s="7" t="e">
        <f>AND(Sheet1!C238,"Xgz/lnzUas4=")</f>
        <v>#VALUE!</v>
      </c>
      <c r="GZ3" s="7" t="e">
        <f>AND(Sheet1!D238,"Xgz/lnzUas8=")</f>
        <v>#VALUE!</v>
      </c>
      <c r="HA3" s="8" t="e">
        <f>IF(Sheet1!$A239:$A239,"Xgz/lnzUatA=",0)</f>
        <v>#VALUE!</v>
      </c>
      <c r="HB3" s="7" t="e">
        <f>AND(Sheet1!A239,"Xgz/lnzUatE=")</f>
        <v>#VALUE!</v>
      </c>
      <c r="HC3" s="7" t="e">
        <f>AND(Sheet1!B239,"Xgz/lnzUatI=")</f>
        <v>#VALUE!</v>
      </c>
      <c r="HD3" s="7" t="e">
        <f>AND(Sheet1!C239,"Xgz/lnzUatM=")</f>
        <v>#VALUE!</v>
      </c>
      <c r="HE3" s="7" t="e">
        <f>AND(Sheet1!D239,"Xgz/lnzUatQ=")</f>
        <v>#VALUE!</v>
      </c>
      <c r="HF3" s="8" t="e">
        <f>IF(Sheet1!$A240:$A240,"Xgz/lnzUatU=",0)</f>
        <v>#VALUE!</v>
      </c>
      <c r="HG3" s="7" t="e">
        <f>AND(Sheet1!A240,"Xgz/lnzUatY=")</f>
        <v>#VALUE!</v>
      </c>
      <c r="HH3" s="7" t="e">
        <f>AND(Sheet1!B240,"Xgz/lnzUatc=")</f>
        <v>#VALUE!</v>
      </c>
      <c r="HI3" s="7" t="e">
        <f>AND(Sheet1!C240,"Xgz/lnzUatg=")</f>
        <v>#VALUE!</v>
      </c>
      <c r="HJ3" s="7" t="e">
        <f>AND(Sheet1!D240,"Xgz/lnzUatk=")</f>
        <v>#VALUE!</v>
      </c>
      <c r="HK3" s="8" t="e">
        <f>IF(Sheet1!$A241:$A241,"Xgz/lnzUato=",0)</f>
        <v>#VALUE!</v>
      </c>
      <c r="HL3" s="7" t="e">
        <f>AND(Sheet1!A241,"Xgz/lnzUats=")</f>
        <v>#VALUE!</v>
      </c>
      <c r="HM3" s="7" t="e">
        <f>AND(Sheet1!B241,"Xgz/lnzUatw=")</f>
        <v>#VALUE!</v>
      </c>
      <c r="HN3" s="7" t="e">
        <f>AND(Sheet1!C241,"Xgz/lnzUat0=")</f>
        <v>#VALUE!</v>
      </c>
      <c r="HO3" s="7" t="e">
        <f>AND(Sheet1!D241,"Xgz/lnzUat4=")</f>
        <v>#VALUE!</v>
      </c>
      <c r="HP3" s="8" t="e">
        <f>IF(Sheet1!$A242:$A242,"Xgz/lnzUat8=",0)</f>
        <v>#VALUE!</v>
      </c>
      <c r="HQ3" s="7" t="e">
        <f>AND(Sheet1!A242,"Xgz/lnzUauA=")</f>
        <v>#VALUE!</v>
      </c>
      <c r="HR3" s="7" t="e">
        <f>AND(Sheet1!B242,"Xgz/lnzUauE=")</f>
        <v>#VALUE!</v>
      </c>
      <c r="HS3" s="7" t="e">
        <f>AND(Sheet1!C242,"Xgz/lnzUauI=")</f>
        <v>#VALUE!</v>
      </c>
      <c r="HT3" s="7" t="e">
        <f>AND(Sheet1!D242,"Xgz/lnzUauM=")</f>
        <v>#VALUE!</v>
      </c>
      <c r="HU3" s="8" t="e">
        <f>IF(Sheet1!$A243:$A243,"Xgz/lnzUauQ=",0)</f>
        <v>#VALUE!</v>
      </c>
      <c r="HV3" s="7" t="e">
        <f>AND(Sheet1!A243,"Xgz/lnzUauU=")</f>
        <v>#VALUE!</v>
      </c>
      <c r="HW3" s="7" t="e">
        <f>AND(Sheet1!B243,"Xgz/lnzUauY=")</f>
        <v>#VALUE!</v>
      </c>
      <c r="HX3" s="7" t="e">
        <f>AND(Sheet1!C243,"Xgz/lnzUauc=")</f>
        <v>#VALUE!</v>
      </c>
      <c r="HY3" s="7" t="e">
        <f>AND(Sheet1!D243,"Xgz/lnzUaug=")</f>
        <v>#VALUE!</v>
      </c>
      <c r="HZ3" s="8" t="e">
        <f>IF(Sheet1!$A244:$A244,"Xgz/lnzUauk=",0)</f>
        <v>#VALUE!</v>
      </c>
      <c r="IA3" s="7" t="e">
        <f>AND(Sheet1!A244,"Xgz/lnzUauo=")</f>
        <v>#VALUE!</v>
      </c>
      <c r="IB3" s="7" t="e">
        <f>AND(Sheet1!B244,"Xgz/lnzUaus=")</f>
        <v>#VALUE!</v>
      </c>
      <c r="IC3" s="7" t="e">
        <f>AND(Sheet1!C244,"Xgz/lnzUauw=")</f>
        <v>#VALUE!</v>
      </c>
      <c r="ID3" s="7" t="e">
        <f>AND(Sheet1!D244,"Xgz/lnzUau0=")</f>
        <v>#VALUE!</v>
      </c>
      <c r="IE3" s="8" t="e">
        <f>IF(Sheet1!$A250:$A302,"Xgz/lnzUau4=",0)</f>
        <v>#VALUE!</v>
      </c>
      <c r="IF3" s="7" t="e">
        <f>AND(Sheet1!A302,"Xgz/lnzUau8=")</f>
        <v>#VALUE!</v>
      </c>
      <c r="IG3" s="7" t="e">
        <f>AND(Sheet1!B302,"Xgz/lnzUavA=")</f>
        <v>#VALUE!</v>
      </c>
      <c r="IH3" s="7" t="e">
        <f>AND(Sheet1!C302,"Xgz/lnzUavE=")</f>
        <v>#VALUE!</v>
      </c>
      <c r="II3" s="7" t="e">
        <f>AND(Sheet1!D302,"Xgz/lnzUavI=")</f>
        <v>#VALUE!</v>
      </c>
      <c r="IJ3" s="8" t="e">
        <f>IF(Sheet1!$A250:$A250,"Xgz/lnzUavM=",0)</f>
        <v>#VALUE!</v>
      </c>
      <c r="IK3" s="7" t="e">
        <f>AND(Sheet1!A250,"Xgz/lnzUavQ=")</f>
        <v>#VALUE!</v>
      </c>
      <c r="IL3" s="7" t="e">
        <f>AND(Sheet1!B250,"Xgz/lnzUavU=")</f>
        <v>#VALUE!</v>
      </c>
      <c r="IM3" s="7" t="e">
        <f>AND(Sheet1!C250,"Xgz/lnzUavY=")</f>
        <v>#VALUE!</v>
      </c>
      <c r="IN3" s="7" t="e">
        <f>AND(Sheet1!D250,"Xgz/lnzUavc=")</f>
        <v>#VALUE!</v>
      </c>
      <c r="IO3" s="8" t="e">
        <f>IF(Sheet1!$A252:$A252,"Xgz/lnzUavg=",0)</f>
        <v>#VALUE!</v>
      </c>
      <c r="IP3" s="7" t="e">
        <f>AND(Sheet1!A252,"Xgz/lnzUavk=")</f>
        <v>#VALUE!</v>
      </c>
      <c r="IQ3" s="7" t="e">
        <f>AND(Sheet1!B252,"Xgz/lnzUavo=")</f>
        <v>#VALUE!</v>
      </c>
      <c r="IR3" s="7" t="e">
        <f>AND(Sheet1!C252,"Xgz/lnzUavs=")</f>
        <v>#VALUE!</v>
      </c>
      <c r="IS3" s="7" t="e">
        <f>AND(Sheet1!D252,"Xgz/lnzUavw=")</f>
        <v>#VALUE!</v>
      </c>
      <c r="IT3" s="8" t="e">
        <f>IF(Sheet1!$A253:$A284,"Xgz/lnzUav0=",0)</f>
        <v>#VALUE!</v>
      </c>
      <c r="IU3" s="7" t="e">
        <f>AND(Sheet1!A100,"Xgz/lnzUav4=")</f>
        <v>#VALUE!</v>
      </c>
      <c r="IV3" s="7" t="e">
        <f>AND(Sheet1!B100,"Xgz/lnzUav8=")</f>
        <v>#VALUE!</v>
      </c>
    </row>
    <row r="4" spans="1:232" ht="12.75" customHeight="1">
      <c r="A4" s="7" t="e">
        <f>AND(Sheet1!C100,"PKMzdW5xUQA=")</f>
        <v>#VALUE!</v>
      </c>
      <c r="B4" s="7" t="e">
        <f>AND(Sheet1!D100,"PKMzdW5xUQE=")</f>
        <v>#VALUE!</v>
      </c>
      <c r="C4" s="7" t="e">
        <f>IF(Sheet1!$A253:$A253,"PKMzdW5xUQI=",0)</f>
        <v>#VALUE!</v>
      </c>
      <c r="D4" s="7" t="e">
        <f>AND(Sheet1!A253,"PKMzdW5xUQM=")</f>
        <v>#VALUE!</v>
      </c>
      <c r="E4" s="7" t="e">
        <f>AND(Sheet1!B253,"PKMzdW5xUQQ=")</f>
        <v>#VALUE!</v>
      </c>
      <c r="F4" s="7" t="e">
        <f>AND(Sheet1!C253,"PKMzdW5xUQU=")</f>
        <v>#VALUE!</v>
      </c>
      <c r="G4" s="7" t="e">
        <f>AND(Sheet1!D253,"PKMzdW5xUQY=")</f>
        <v>#VALUE!</v>
      </c>
      <c r="H4" s="8" t="e">
        <f>IF(Sheet1!$A256:$A256,"PKMzdW5xUQc=",0)</f>
        <v>#VALUE!</v>
      </c>
      <c r="I4" s="7" t="e">
        <f>AND(Sheet1!A256,"PKMzdW5xUQg=")</f>
        <v>#VALUE!</v>
      </c>
      <c r="J4" s="7" t="e">
        <f>AND(Sheet1!B256,"PKMzdW5xUQk=")</f>
        <v>#VALUE!</v>
      </c>
      <c r="K4" s="7" t="e">
        <f>AND(Sheet1!C256,"PKMzdW5xUQo=")</f>
        <v>#VALUE!</v>
      </c>
      <c r="L4" s="7" t="e">
        <f>AND(Sheet1!D256,"PKMzdW5xUQs=")</f>
        <v>#VALUE!</v>
      </c>
      <c r="M4" s="8" t="e">
        <f>IF({},"PKMzdW5xUQw=",0)</f>
        <v>#NAME?</v>
      </c>
      <c r="N4" s="7" t="e">
        <f>AND({},"PKMzdW5xUQ0=")</f>
        <v>#NAME?</v>
      </c>
      <c r="O4" s="7" t="e">
        <f>AND({},"PKMzdW5xUQ4=")</f>
        <v>#NAME?</v>
      </c>
      <c r="P4" s="7" t="e">
        <f>AND({},"PKMzdW5xUQ8=")</f>
        <v>#NAME?</v>
      </c>
      <c r="Q4" s="7" t="e">
        <f>AND({},"PKMzdW5xURA=")</f>
        <v>#NAME?</v>
      </c>
      <c r="R4" s="8" t="e">
        <f>IF({},"PKMzdW5xURE=",0)</f>
        <v>#NAME?</v>
      </c>
      <c r="S4" s="7" t="e">
        <f>AND({},"PKMzdW5xURI=")</f>
        <v>#NAME?</v>
      </c>
      <c r="T4" s="7" t="e">
        <f>AND({},"PKMzdW5xURM=")</f>
        <v>#NAME?</v>
      </c>
      <c r="U4" s="7" t="e">
        <f>AND({},"PKMzdW5xURQ=")</f>
        <v>#NAME?</v>
      </c>
      <c r="V4" s="7" t="e">
        <f>AND({},"PKMzdW5xURU=")</f>
        <v>#NAME?</v>
      </c>
      <c r="W4" s="8" t="e">
        <f>IF({},"PKMzdW5xURY=",0)</f>
        <v>#NAME?</v>
      </c>
      <c r="X4" s="7" t="e">
        <f>AND({},"PKMzdW5xURc=")</f>
        <v>#NAME?</v>
      </c>
      <c r="Y4" s="7" t="e">
        <f>AND({},"PKMzdW5xURg=")</f>
        <v>#NAME?</v>
      </c>
      <c r="Z4" s="7" t="e">
        <f>AND({},"PKMzdW5xURk=")</f>
        <v>#NAME?</v>
      </c>
      <c r="AA4" s="7" t="e">
        <f>AND({},"PKMzdW5xURo=")</f>
        <v>#NAME?</v>
      </c>
      <c r="AB4" s="8" t="e">
        <f>IF(Sheet1!$A258:$A258,"PKMzdW5xURs=",0)</f>
        <v>#VALUE!</v>
      </c>
      <c r="AC4" s="7" t="e">
        <f>AND(Sheet1!A258,"PKMzdW5xURw=")</f>
        <v>#VALUE!</v>
      </c>
      <c r="AD4" s="7" t="e">
        <f>AND(Sheet1!B258,"PKMzdW5xUR0=")</f>
        <v>#VALUE!</v>
      </c>
      <c r="AE4" s="7" t="e">
        <f>AND(Sheet1!C258,"PKMzdW5xUR4=")</f>
        <v>#VALUE!</v>
      </c>
      <c r="AF4" s="7" t="e">
        <f>AND(Sheet1!D258,"PKMzdW5xUR8=")</f>
        <v>#VALUE!</v>
      </c>
      <c r="AG4" s="8" t="e">
        <f>IF(Sheet1!$A259:$A259,"PKMzdW5xUSA=",0)</f>
        <v>#VALUE!</v>
      </c>
      <c r="AH4" s="7" t="e">
        <f>AND(Sheet1!A259,"PKMzdW5xUSE=")</f>
        <v>#VALUE!</v>
      </c>
      <c r="AI4" s="7" t="e">
        <f>AND(Sheet1!B259,"PKMzdW5xUSI=")</f>
        <v>#VALUE!</v>
      </c>
      <c r="AJ4" s="7" t="e">
        <f>AND(Sheet1!C259,"PKMzdW5xUSM=")</f>
        <v>#VALUE!</v>
      </c>
      <c r="AK4" s="7" t="e">
        <f>AND(Sheet1!D259,"PKMzdW5xUSQ=")</f>
        <v>#VALUE!</v>
      </c>
      <c r="AL4" s="8" t="e">
        <f>IF(Sheet1!$A260:$A260,"PKMzdW5xUSU=",0)</f>
        <v>#VALUE!</v>
      </c>
      <c r="AM4" s="7" t="e">
        <f>AND(Sheet1!A260,"PKMzdW5xUSY=")</f>
        <v>#VALUE!</v>
      </c>
      <c r="AN4" s="7" t="e">
        <f>AND(Sheet1!B260,"PKMzdW5xUSc=")</f>
        <v>#VALUE!</v>
      </c>
      <c r="AO4" s="7" t="e">
        <f>AND(Sheet1!C260,"PKMzdW5xUSg=")</f>
        <v>#VALUE!</v>
      </c>
      <c r="AP4" s="7" t="e">
        <f>AND(Sheet1!D260,"PKMzdW5xUSk=")</f>
        <v>#VALUE!</v>
      </c>
      <c r="AQ4" s="8" t="e">
        <f>IF(Sheet1!$A261:$A261,"PKMzdW5xUSo=",0)</f>
        <v>#VALUE!</v>
      </c>
      <c r="AR4" s="7" t="e">
        <f>AND(Sheet1!A261,"PKMzdW5xUSs=")</f>
        <v>#VALUE!</v>
      </c>
      <c r="AS4" s="7" t="e">
        <f>AND(Sheet1!B261,"PKMzdW5xUSw=")</f>
        <v>#VALUE!</v>
      </c>
      <c r="AT4" s="7" t="e">
        <f>AND(Sheet1!C261,"PKMzdW5xUS0=")</f>
        <v>#VALUE!</v>
      </c>
      <c r="AU4" s="7" t="e">
        <f>AND(Sheet1!D261,"PKMzdW5xUS4=")</f>
        <v>#VALUE!</v>
      </c>
      <c r="AV4" s="8" t="e">
        <f>IF(Sheet1!$A262:$A291,"PKMzdW5xUS8=",0)</f>
        <v>#VALUE!</v>
      </c>
      <c r="AW4" s="7" t="e">
        <f>AND(Sheet1!A291,"PKMzdW5xUTA=")</f>
        <v>#VALUE!</v>
      </c>
      <c r="AX4" s="7" t="e">
        <f>AND(Sheet1!B291,"PKMzdW5xUTE=")</f>
        <v>#VALUE!</v>
      </c>
      <c r="AY4" s="7" t="e">
        <f>AND(Sheet1!C291,"PKMzdW5xUTI=")</f>
        <v>#VALUE!</v>
      </c>
      <c r="AZ4" s="7" t="e">
        <f>AND(Sheet1!D291,"PKMzdW5xUTM=")</f>
        <v>#VALUE!</v>
      </c>
      <c r="BA4" s="8" t="e">
        <f>IF(Sheet1!$A262:$A262,"PKMzdW5xUTQ=",0)</f>
        <v>#VALUE!</v>
      </c>
      <c r="BB4" s="7" t="e">
        <f>AND(Sheet1!A262,"PKMzdW5xUTU=")</f>
        <v>#VALUE!</v>
      </c>
      <c r="BC4" s="7" t="e">
        <f>AND(Sheet1!B262,"PKMzdW5xUTY=")</f>
        <v>#VALUE!</v>
      </c>
      <c r="BD4" s="7" t="e">
        <f>AND(Sheet1!C262,"PKMzdW5xUTc=")</f>
        <v>#VALUE!</v>
      </c>
      <c r="BE4" s="7" t="e">
        <f>AND(Sheet1!D262,"PKMzdW5xUTg=")</f>
        <v>#VALUE!</v>
      </c>
      <c r="BF4" s="8" t="e">
        <f>IF(Sheet1!$A264:$A264,"PKMzdW5xUTk=",0)</f>
        <v>#VALUE!</v>
      </c>
      <c r="BG4" s="7" t="e">
        <f>AND(Sheet1!A264,"PKMzdW5xUTo=")</f>
        <v>#VALUE!</v>
      </c>
      <c r="BH4" s="7" t="e">
        <f>AND(Sheet1!B264,"PKMzdW5xUTs=")</f>
        <v>#VALUE!</v>
      </c>
      <c r="BI4" s="7" t="e">
        <f>AND(Sheet1!C264,"PKMzdW5xUTw=")</f>
        <v>#VALUE!</v>
      </c>
      <c r="BJ4" s="7" t="e">
        <f>AND(Sheet1!D264,"PKMzdW5xUT0=")</f>
        <v>#VALUE!</v>
      </c>
      <c r="BK4" s="8" t="e">
        <f>IF(Sheet1!$A265:$A265,"PKMzdW5xUT4=",0)</f>
        <v>#VALUE!</v>
      </c>
      <c r="BL4" s="7" t="e">
        <f>AND(Sheet1!A265,"PKMzdW5xUT8=")</f>
        <v>#VALUE!</v>
      </c>
      <c r="BM4" s="7" t="e">
        <f>AND(Sheet1!B265,"PKMzdW5xUUA=")</f>
        <v>#VALUE!</v>
      </c>
      <c r="BN4" s="7" t="e">
        <f>AND(Sheet1!C265,"PKMzdW5xUUE=")</f>
        <v>#VALUE!</v>
      </c>
      <c r="BO4" s="7" t="e">
        <f>AND(Sheet1!D265,"PKMzdW5xUUI=")</f>
        <v>#VALUE!</v>
      </c>
      <c r="BP4" s="8" t="e">
        <f>IF(Sheet1!$A266:$A266,"PKMzdW5xUUM=",0)</f>
        <v>#VALUE!</v>
      </c>
      <c r="BQ4" s="7" t="e">
        <f>AND(Sheet1!A266,"PKMzdW5xUUQ=")</f>
        <v>#VALUE!</v>
      </c>
      <c r="BR4" s="7" t="e">
        <f>AND(Sheet1!B266,"PKMzdW5xUUU=")</f>
        <v>#VALUE!</v>
      </c>
      <c r="BS4" s="7" t="e">
        <f>AND(Sheet1!C266,"PKMzdW5xUUY=")</f>
        <v>#VALUE!</v>
      </c>
      <c r="BT4" s="7" t="e">
        <f>AND(Sheet1!D266,"PKMzdW5xUUc=")</f>
        <v>#VALUE!</v>
      </c>
      <c r="BU4" s="8" t="e">
        <f>IF(Sheet1!$A267:$A267,"PKMzdW5xUUg=",0)</f>
        <v>#VALUE!</v>
      </c>
      <c r="BV4" s="7" t="e">
        <f>AND(Sheet1!A267,"PKMzdW5xUUk=")</f>
        <v>#VALUE!</v>
      </c>
      <c r="BW4" s="7" t="e">
        <f>AND(Sheet1!B267,"PKMzdW5xUUo=")</f>
        <v>#VALUE!</v>
      </c>
      <c r="BX4" s="7" t="e">
        <f>AND(Sheet1!C267,"PKMzdW5xUUs=")</f>
        <v>#VALUE!</v>
      </c>
      <c r="BY4" s="7" t="e">
        <f>AND(Sheet1!D267,"PKMzdW5xUUw=")</f>
        <v>#VALUE!</v>
      </c>
      <c r="BZ4" s="8" t="e">
        <f>IF(Sheet1!$A268:$A286,"PKMzdW5xUU0=",0)</f>
        <v>#VALUE!</v>
      </c>
      <c r="CA4" s="7" t="e">
        <f>AND(Sheet1!A286,"PKMzdW5xUU4=")</f>
        <v>#VALUE!</v>
      </c>
      <c r="CB4" s="7" t="e">
        <f>AND(Sheet1!B286,"PKMzdW5xUU8=")</f>
        <v>#VALUE!</v>
      </c>
      <c r="CC4" s="7" t="e">
        <f>AND(Sheet1!C286,"PKMzdW5xUVA=")</f>
        <v>#VALUE!</v>
      </c>
      <c r="CD4" s="7" t="e">
        <f>AND(Sheet1!D286,"PKMzdW5xUVE=")</f>
        <v>#VALUE!</v>
      </c>
      <c r="CE4" s="8" t="e">
        <f>IF(Sheet1!$A268:$A268,"PKMzdW5xUVI=",0)</f>
        <v>#VALUE!</v>
      </c>
      <c r="CF4" s="7" t="e">
        <f>AND(Sheet1!A268,"PKMzdW5xUVM=")</f>
        <v>#VALUE!</v>
      </c>
      <c r="CG4" s="7" t="e">
        <f>AND(Sheet1!B268,"PKMzdW5xUVQ=")</f>
        <v>#VALUE!</v>
      </c>
      <c r="CH4" s="7" t="e">
        <f>AND(Sheet1!C268,"PKMzdW5xUVU=")</f>
        <v>#VALUE!</v>
      </c>
      <c r="CI4" s="7" t="e">
        <f>AND(Sheet1!D268,"PKMzdW5xUVY=")</f>
        <v>#VALUE!</v>
      </c>
      <c r="CJ4" s="8" t="e">
        <f>IF(Sheet1!$A269:$A269,"PKMzdW5xUVc=",0)</f>
        <v>#VALUE!</v>
      </c>
      <c r="CK4" s="7" t="e">
        <f>AND(Sheet1!A269,"PKMzdW5xUVg=")</f>
        <v>#VALUE!</v>
      </c>
      <c r="CL4" s="7" t="e">
        <f>AND(Sheet1!B269,"PKMzdW5xUVk=")</f>
        <v>#VALUE!</v>
      </c>
      <c r="CM4" s="7" t="e">
        <f>AND(Sheet1!C269,"PKMzdW5xUVo=")</f>
        <v>#VALUE!</v>
      </c>
      <c r="CN4" s="7" t="e">
        <f>AND(Sheet1!D269,"PKMzdW5xUVs=")</f>
        <v>#VALUE!</v>
      </c>
      <c r="CO4" s="8" t="e">
        <f>IF({},"PKMzdW5xUVw=",0)</f>
        <v>#NAME?</v>
      </c>
      <c r="CP4" s="7" t="e">
        <f>AND({},"PKMzdW5xUV0=")</f>
        <v>#NAME?</v>
      </c>
      <c r="CQ4" s="7" t="e">
        <f>AND({},"PKMzdW5xUV4=")</f>
        <v>#NAME?</v>
      </c>
      <c r="CR4" s="7" t="e">
        <f>AND({},"PKMzdW5xUV8=")</f>
        <v>#NAME?</v>
      </c>
      <c r="CS4" s="7" t="e">
        <f>AND({},"PKMzdW5xUWA=")</f>
        <v>#NAME?</v>
      </c>
      <c r="CT4" s="8" t="e">
        <f>IF({},"PKMzdW5xUWE=",0)</f>
        <v>#NAME?</v>
      </c>
      <c r="CU4" s="7" t="e">
        <f>AND({},"PKMzdW5xUWI=")</f>
        <v>#NAME?</v>
      </c>
      <c r="CV4" s="7" t="e">
        <f>AND({},"PKMzdW5xUWM=")</f>
        <v>#NAME?</v>
      </c>
      <c r="CW4" s="7" t="e">
        <f>AND({},"PKMzdW5xUWQ=")</f>
        <v>#NAME?</v>
      </c>
      <c r="CX4" s="7" t="e">
        <f>AND({},"PKMzdW5xUWU=")</f>
        <v>#NAME?</v>
      </c>
      <c r="CY4" s="8" t="e">
        <f>IF(Sheet1!$A270:$A270,"PKMzdW5xUWY=",0)</f>
        <v>#VALUE!</v>
      </c>
      <c r="CZ4" s="7" t="e">
        <f>AND(Sheet1!A270,"PKMzdW5xUWc=")</f>
        <v>#VALUE!</v>
      </c>
      <c r="DA4" s="7" t="e">
        <f>AND(Sheet1!B270,"PKMzdW5xUWg=")</f>
        <v>#VALUE!</v>
      </c>
      <c r="DB4" s="7" t="e">
        <f>AND(Sheet1!C270,"PKMzdW5xUWk=")</f>
        <v>#VALUE!</v>
      </c>
      <c r="DC4" s="7" t="e">
        <f>AND(Sheet1!D270,"PKMzdW5xUWo=")</f>
        <v>#VALUE!</v>
      </c>
      <c r="DD4" s="8" t="e">
        <f>IF(Sheet1!$A271:$A271,"PKMzdW5xUWs=",0)</f>
        <v>#VALUE!</v>
      </c>
      <c r="DE4" s="7" t="e">
        <f>AND(Sheet1!A271,"PKMzdW5xUWw=")</f>
        <v>#VALUE!</v>
      </c>
      <c r="DF4" s="7" t="e">
        <f>AND(Sheet1!B271,"PKMzdW5xUW0=")</f>
        <v>#VALUE!</v>
      </c>
      <c r="DG4" s="7" t="e">
        <f>AND(Sheet1!C271,"PKMzdW5xUW4=")</f>
        <v>#VALUE!</v>
      </c>
      <c r="DH4" s="7" t="e">
        <f>AND(Sheet1!D271,"PKMzdW5xUW8=")</f>
        <v>#VALUE!</v>
      </c>
      <c r="DI4" s="8" t="e">
        <f>IF(Sheet1!$A272:$A293,"PKMzdW5xUXA=",0)</f>
        <v>#VALUE!</v>
      </c>
      <c r="DJ4" s="7" t="e">
        <f>AND(Sheet1!A292,"PKMzdW5xUXE=")</f>
        <v>#VALUE!</v>
      </c>
      <c r="DK4" s="7" t="e">
        <f>AND(Sheet1!B292,"PKMzdW5xUXI=")</f>
        <v>#VALUE!</v>
      </c>
      <c r="DL4" s="7" t="e">
        <f>AND(Sheet1!C292,"PKMzdW5xUXM=")</f>
        <v>#VALUE!</v>
      </c>
      <c r="DM4" s="7" t="e">
        <f>AND(Sheet1!D292,"PKMzdW5xUXQ=")</f>
        <v>#VALUE!</v>
      </c>
      <c r="DN4" s="8" t="e">
        <f>IF(Sheet1!$A272:$A272,"PKMzdW5xUXU=",0)</f>
        <v>#VALUE!</v>
      </c>
      <c r="DO4" s="7" t="e">
        <f>AND(Sheet1!A272,"PKMzdW5xUXY=")</f>
        <v>#VALUE!</v>
      </c>
      <c r="DP4" s="7" t="e">
        <f>AND(Sheet1!B272,"PKMzdW5xUXc=")</f>
        <v>#VALUE!</v>
      </c>
      <c r="DQ4" s="7" t="e">
        <f>AND(Sheet1!C272,"PKMzdW5xUXg=")</f>
        <v>#VALUE!</v>
      </c>
      <c r="DR4" s="7" t="e">
        <f>AND(Sheet1!D272,"PKMzdW5xUXk=")</f>
        <v>#VALUE!</v>
      </c>
      <c r="DS4" s="8" t="e">
        <f>IF(Sheet1!$A273:$A284,"PKMzdW5xUXo=",0)</f>
        <v>#VALUE!</v>
      </c>
      <c r="DT4" s="7" t="e">
        <f>AND(Sheet1!A284,"PKMzdW5xUXs=")</f>
        <v>#VALUE!</v>
      </c>
      <c r="DU4" s="7" t="e">
        <f>AND(Sheet1!B284,"PKMzdW5xUXw=")</f>
        <v>#VALUE!</v>
      </c>
      <c r="DV4" s="7" t="e">
        <f>AND(Sheet1!C284,"PKMzdW5xUX0=")</f>
        <v>#VALUE!</v>
      </c>
      <c r="DW4" s="7" t="e">
        <f>AND(Sheet1!D284,"PKMzdW5xUX4=")</f>
        <v>#VALUE!</v>
      </c>
      <c r="DX4" s="8" t="e">
        <f>IF(Sheet1!$A273:$A273,"PKMzdW5xUX8=",0)</f>
        <v>#VALUE!</v>
      </c>
      <c r="DY4" s="7" t="e">
        <f>AND(Sheet1!A273,"PKMzdW5xUYA=")</f>
        <v>#VALUE!</v>
      </c>
      <c r="DZ4" s="7" t="e">
        <f>AND(Sheet1!B273,"PKMzdW5xUYE=")</f>
        <v>#VALUE!</v>
      </c>
      <c r="EA4" s="7" t="e">
        <f>AND(Sheet1!C273,"PKMzdW5xUYI=")</f>
        <v>#VALUE!</v>
      </c>
      <c r="EB4" s="7" t="e">
        <f>AND(Sheet1!D273,"PKMzdW5xUYM=")</f>
        <v>#VALUE!</v>
      </c>
      <c r="EC4" s="8" t="e">
        <f>IF(Sheet1!$A274:$A274,"PKMzdW5xUYQ=",0)</f>
        <v>#VALUE!</v>
      </c>
      <c r="ED4" s="7" t="e">
        <f>AND(Sheet1!A274,"PKMzdW5xUYU=")</f>
        <v>#VALUE!</v>
      </c>
      <c r="EE4" s="7" t="e">
        <f>AND(Sheet1!B274,"PKMzdW5xUYY=")</f>
        <v>#VALUE!</v>
      </c>
      <c r="EF4" s="7" t="e">
        <f>AND(Sheet1!C274,"PKMzdW5xUYc=")</f>
        <v>#VALUE!</v>
      </c>
      <c r="EG4" s="7" t="e">
        <f>AND(Sheet1!D274,"PKMzdW5xUYg=")</f>
        <v>#VALUE!</v>
      </c>
      <c r="EH4" s="8" t="e">
        <f>IF({},"PKMzdW5xUYk=",0)</f>
        <v>#NAME?</v>
      </c>
      <c r="EI4" s="7" t="e">
        <f>AND({},"PKMzdW5xUYo=")</f>
        <v>#NAME?</v>
      </c>
      <c r="EJ4" s="7" t="e">
        <f>AND({},"PKMzdW5xUYs=")</f>
        <v>#NAME?</v>
      </c>
      <c r="EK4" s="7" t="e">
        <f>AND({},"PKMzdW5xUYw=")</f>
        <v>#NAME?</v>
      </c>
      <c r="EL4" s="7" t="e">
        <f>AND({},"PKMzdW5xUY0=")</f>
        <v>#NAME?</v>
      </c>
      <c r="EM4" s="8" t="e">
        <f>IF({},"PKMzdW5xUY4=",0)</f>
        <v>#NAME?</v>
      </c>
      <c r="EN4" s="7" t="e">
        <f>AND({},"PKMzdW5xUY8=")</f>
        <v>#NAME?</v>
      </c>
      <c r="EO4" s="7" t="e">
        <f>AND({},"PKMzdW5xUZA=")</f>
        <v>#NAME?</v>
      </c>
      <c r="EP4" s="7" t="e">
        <f>AND({},"PKMzdW5xUZE=")</f>
        <v>#NAME?</v>
      </c>
      <c r="EQ4" s="7" t="e">
        <f>AND({},"PKMzdW5xUZI=")</f>
        <v>#NAME?</v>
      </c>
      <c r="ER4" s="8" t="e">
        <f>IF({},"PKMzdW5xUZM=",0)</f>
        <v>#NAME?</v>
      </c>
      <c r="ES4" s="7" t="e">
        <f>AND({},"PKMzdW5xUZQ=")</f>
        <v>#NAME?</v>
      </c>
      <c r="ET4" s="7" t="e">
        <f>AND({},"PKMzdW5xUZU=")</f>
        <v>#NAME?</v>
      </c>
      <c r="EU4" s="7" t="e">
        <f>AND({},"PKMzdW5xUZY=")</f>
        <v>#NAME?</v>
      </c>
      <c r="EV4" s="7" t="e">
        <f>AND({},"PKMzdW5xUZc=")</f>
        <v>#NAME?</v>
      </c>
      <c r="EW4" s="8" t="e">
        <f>IF({},"PKMzdW5xUZg=",0)</f>
        <v>#NAME?</v>
      </c>
      <c r="EX4" s="7" t="e">
        <f>AND({},"PKMzdW5xUZk=")</f>
        <v>#NAME?</v>
      </c>
      <c r="EY4" s="7" t="e">
        <f>AND({},"PKMzdW5xUZo=")</f>
        <v>#NAME?</v>
      </c>
      <c r="EZ4" s="7" t="e">
        <f>AND({},"PKMzdW5xUZs=")</f>
        <v>#NAME?</v>
      </c>
      <c r="FA4" s="7" t="e">
        <f>AND({},"PKMzdW5xUZw=")</f>
        <v>#NAME?</v>
      </c>
      <c r="FB4" s="8" t="e">
        <f>IF({},"PKMzdW5xUZ0=",0)</f>
        <v>#NAME?</v>
      </c>
      <c r="FC4" s="7" t="e">
        <f>AND({},"PKMzdW5xUZ4=")</f>
        <v>#NAME?</v>
      </c>
      <c r="FD4" s="7" t="e">
        <f>AND({},"PKMzdW5xUZ8=")</f>
        <v>#NAME?</v>
      </c>
      <c r="FE4" s="7" t="e">
        <f>AND({},"PKMzdW5xUaA=")</f>
        <v>#NAME?</v>
      </c>
      <c r="FF4" s="7" t="e">
        <f>AND({},"PKMzdW5xUaE=")</f>
        <v>#NAME?</v>
      </c>
      <c r="FG4" s="8" t="e">
        <f>IF(Sheet1!$A275:$A275,"PKMzdW5xUaI=",0)</f>
        <v>#VALUE!</v>
      </c>
      <c r="FH4" s="7" t="e">
        <f>AND(Sheet1!A275,"PKMzdW5xUaM=")</f>
        <v>#VALUE!</v>
      </c>
      <c r="FI4" s="7" t="e">
        <f>AND(Sheet1!B275,"PKMzdW5xUaQ=")</f>
        <v>#VALUE!</v>
      </c>
      <c r="FJ4" s="7" t="e">
        <f>AND(Sheet1!C275,"PKMzdW5xUaU=")</f>
        <v>#VALUE!</v>
      </c>
      <c r="FK4" s="7" t="e">
        <f>AND(Sheet1!D275,"PKMzdW5xUaY=")</f>
        <v>#VALUE!</v>
      </c>
      <c r="FL4" s="8" t="e">
        <f>IF(Sheet1!$A276:$A276,"PKMzdW5xUac=",0)</f>
        <v>#VALUE!</v>
      </c>
      <c r="FM4" s="7" t="e">
        <f>AND(Sheet1!A276,"PKMzdW5xUag=")</f>
        <v>#VALUE!</v>
      </c>
      <c r="FN4" s="7" t="e">
        <f>AND(Sheet1!B276,"PKMzdW5xUak=")</f>
        <v>#VALUE!</v>
      </c>
      <c r="FO4" s="7" t="e">
        <f>AND(Sheet1!C276,"PKMzdW5xUao=")</f>
        <v>#VALUE!</v>
      </c>
      <c r="FP4" s="7" t="e">
        <f>AND(Sheet1!D276,"PKMzdW5xUas=")</f>
        <v>#VALUE!</v>
      </c>
      <c r="FQ4" s="8" t="e">
        <f>IF(Sheet1!$A277:$A277,"PKMzdW5xUaw=",0)</f>
        <v>#VALUE!</v>
      </c>
      <c r="FR4" s="7" t="e">
        <f>AND(Sheet1!A277,"PKMzdW5xUa0=")</f>
        <v>#VALUE!</v>
      </c>
      <c r="FS4" s="7" t="e">
        <f>AND(Sheet1!B277,"PKMzdW5xUa4=")</f>
        <v>#VALUE!</v>
      </c>
      <c r="FT4" s="7" t="e">
        <f>AND(Sheet1!C277,"PKMzdW5xUa8=")</f>
        <v>#VALUE!</v>
      </c>
      <c r="FU4" s="7" t="e">
        <f>AND(Sheet1!D277,"PKMzdW5xUbA=")</f>
        <v>#VALUE!</v>
      </c>
      <c r="FV4" s="8" t="e">
        <f>IF(Sheet1!$A278:$A285,"PKMzdW5xUbE=",0)</f>
        <v>#VALUE!</v>
      </c>
      <c r="FW4" s="7" t="e">
        <f>AND(Sheet1!A285,"PKMzdW5xUbI=")</f>
        <v>#VALUE!</v>
      </c>
      <c r="FX4" s="7" t="e">
        <f>AND(Sheet1!B285,"PKMzdW5xUbM=")</f>
        <v>#VALUE!</v>
      </c>
      <c r="FY4" s="7" t="e">
        <f>AND(Sheet1!C285,"PKMzdW5xUbQ=")</f>
        <v>#VALUE!</v>
      </c>
      <c r="FZ4" s="7" t="e">
        <f>AND(Sheet1!D285,"PKMzdW5xUbU=")</f>
        <v>#VALUE!</v>
      </c>
      <c r="GA4" s="8" t="e">
        <f>IF(Sheet1!$A278:$A278,"PKMzdW5xUbY=",0)</f>
        <v>#VALUE!</v>
      </c>
      <c r="GB4" s="7" t="e">
        <f>AND(Sheet1!A278,"PKMzdW5xUbc=")</f>
        <v>#VALUE!</v>
      </c>
      <c r="GC4" s="7" t="e">
        <f>AND(Sheet1!B278,"PKMzdW5xUbg=")</f>
        <v>#VALUE!</v>
      </c>
      <c r="GD4" s="7" t="e">
        <f>AND(Sheet1!C278,"PKMzdW5xUbk=")</f>
        <v>#VALUE!</v>
      </c>
      <c r="GE4" s="7" t="e">
        <f>AND(Sheet1!D278,"PKMzdW5xUbo=")</f>
        <v>#VALUE!</v>
      </c>
      <c r="GF4" s="8" t="e">
        <f>IF(Sheet1!$A279:$A287,"PKMzdW5xUbs=",0)</f>
        <v>#VALUE!</v>
      </c>
      <c r="GG4" s="7" t="e">
        <f>AND(Sheet1!A287,"PKMzdW5xUbw=")</f>
        <v>#VALUE!</v>
      </c>
      <c r="GH4" s="7" t="e">
        <f>AND(Sheet1!B287,"PKMzdW5xUb0=")</f>
        <v>#VALUE!</v>
      </c>
      <c r="GI4" s="7" t="e">
        <f>AND(Sheet1!C287,"PKMzdW5xUb4=")</f>
        <v>#VALUE!</v>
      </c>
      <c r="GJ4" s="7" t="e">
        <f>AND(Sheet1!D287,"PKMzdW5xUb8=")</f>
        <v>#VALUE!</v>
      </c>
      <c r="GK4" s="8" t="e">
        <f>IF(Sheet1!$A279:$A279,"PKMzdW5xUcA=",0)</f>
        <v>#VALUE!</v>
      </c>
      <c r="GL4" s="7" t="e">
        <f>AND(Sheet1!A279,"PKMzdW5xUcE=")</f>
        <v>#VALUE!</v>
      </c>
      <c r="GM4" s="7" t="e">
        <f>AND(Sheet1!B279,"PKMzdW5xUcI=")</f>
        <v>#VALUE!</v>
      </c>
      <c r="GN4" s="7" t="e">
        <f>AND(Sheet1!C279,"PKMzdW5xUcM=")</f>
        <v>#VALUE!</v>
      </c>
      <c r="GO4" s="7" t="e">
        <f>AND(Sheet1!D279,"PKMzdW5xUcQ=")</f>
        <v>#VALUE!</v>
      </c>
      <c r="GP4" s="8" t="e">
        <f>IF(Sheet1!$A280:$A288,"PKMzdW5xUcU=",0)</f>
        <v>#VALUE!</v>
      </c>
      <c r="GQ4" s="7" t="e">
        <f>AND(Sheet1!A288,"PKMzdW5xUcY=")</f>
        <v>#VALUE!</v>
      </c>
      <c r="GR4" s="7" t="e">
        <f>AND(Sheet1!B288,"PKMzdW5xUcc=")</f>
        <v>#VALUE!</v>
      </c>
      <c r="GS4" s="7" t="e">
        <f>AND(Sheet1!C288,"PKMzdW5xUcg=")</f>
        <v>#VALUE!</v>
      </c>
      <c r="GT4" s="7" t="e">
        <f>AND(Sheet1!D288,"PKMzdW5xUck=")</f>
        <v>#VALUE!</v>
      </c>
      <c r="GU4" s="8" t="e">
        <f>IF(Sheet1!$A280:$A280,"PKMzdW5xUco=",0)</f>
        <v>#VALUE!</v>
      </c>
      <c r="GV4" s="7" t="e">
        <f>AND(Sheet1!A280,"PKMzdW5xUcs=")</f>
        <v>#VALUE!</v>
      </c>
      <c r="GW4" s="7" t="e">
        <f>AND(Sheet1!B280,"PKMzdW5xUcw=")</f>
        <v>#VALUE!</v>
      </c>
      <c r="GX4" s="7" t="e">
        <f>AND(Sheet1!C280,"PKMzdW5xUc0=")</f>
        <v>#VALUE!</v>
      </c>
      <c r="GY4" s="7" t="e">
        <f>AND(Sheet1!D280,"PKMzdW5xUc4=")</f>
        <v>#VALUE!</v>
      </c>
      <c r="GZ4" s="8" t="e">
        <f>IF(Sheet1!$A281:$A281,"PKMzdW5xUc8=",0)</f>
        <v>#VALUE!</v>
      </c>
      <c r="HA4" s="7" t="e">
        <f>AND(Sheet1!A281,"PKMzdW5xUdA=")</f>
        <v>#VALUE!</v>
      </c>
      <c r="HB4" s="7" t="e">
        <f>AND(Sheet1!B281,"PKMzdW5xUdE=")</f>
        <v>#VALUE!</v>
      </c>
      <c r="HC4" s="7" t="e">
        <f>AND(Sheet1!C281,"PKMzdW5xUdI=")</f>
        <v>#VALUE!</v>
      </c>
      <c r="HD4" s="7" t="e">
        <f>AND(Sheet1!D281,"PKMzdW5xUdM=")</f>
        <v>#VALUE!</v>
      </c>
      <c r="HE4" s="8" t="e">
        <f>IF(Sheet1!$A282:$A282,"PKMzdW5xUdQ=",0)</f>
        <v>#VALUE!</v>
      </c>
      <c r="HF4" s="7" t="e">
        <f>AND(Sheet1!A282,"PKMzdW5xUdU=")</f>
        <v>#VALUE!</v>
      </c>
      <c r="HG4" s="7" t="e">
        <f>AND(Sheet1!B282,"PKMzdW5xUdY=")</f>
        <v>#VALUE!</v>
      </c>
      <c r="HH4" s="7" t="e">
        <f>AND(Sheet1!C282,"PKMzdW5xUdc=")</f>
        <v>#VALUE!</v>
      </c>
      <c r="HI4" s="7" t="e">
        <f>AND(Sheet1!D282,"PKMzdW5xUdg=")</f>
        <v>#VALUE!</v>
      </c>
      <c r="HJ4" s="8" t="e">
        <f>IF(Sheet1!$A283:$A283,"PKMzdW5xUdk=",0)</f>
        <v>#VALUE!</v>
      </c>
      <c r="HK4" s="7" t="e">
        <f>AND(Sheet1!A283,"PKMzdW5xUdo=")</f>
        <v>#VALUE!</v>
      </c>
      <c r="HL4" s="7" t="e">
        <f>AND(Sheet1!B283,"PKMzdW5xUds=")</f>
        <v>#VALUE!</v>
      </c>
      <c r="HM4" s="7" t="e">
        <f>AND(Sheet1!C283,"PKMzdW5xUdw=")</f>
        <v>#VALUE!</v>
      </c>
      <c r="HN4" s="7" t="e">
        <f>AND(Sheet1!D283,"PKMzdW5xUd0=")</f>
        <v>#VALUE!</v>
      </c>
      <c r="HO4" s="8" t="e">
        <f>IF(Sheet1!$A263:$A263,"PKMzdW5xUd4=",0)</f>
        <v>#VALUE!</v>
      </c>
      <c r="HP4" s="7" t="e">
        <f>AND(Sheet1!A263,"PKMzdW5xUd8=")</f>
        <v>#VALUE!</v>
      </c>
      <c r="HQ4" s="7" t="e">
        <f>AND(Sheet1!B263,"PKMzdW5xUeA=")</f>
        <v>#VALUE!</v>
      </c>
      <c r="HR4" s="7" t="e">
        <f>AND(Sheet1!C263,"PKMzdW5xUeE=")</f>
        <v>#VALUE!</v>
      </c>
      <c r="HS4" s="7" t="e">
        <f>AND(Sheet1!D263,"PKMzdW5xUeI=")</f>
        <v>#VALUE!</v>
      </c>
      <c r="HT4" s="7" t="e">
        <f>IF(Sheet1!A$1:A$112,"PKMzdW5xUeM=",0)</f>
        <v>#VALUE!</v>
      </c>
      <c r="HU4" s="7" t="e">
        <f>IF(Sheet1!B$1:B$112,"PKMzdW5xUeQ=",0)</f>
        <v>#VALUE!</v>
      </c>
      <c r="HV4" s="7" t="e">
        <f>IF(Sheet1!C$1:C$112,"PKMzdW5xUeU=",0)</f>
        <v>#VALUE!</v>
      </c>
      <c r="HW4" s="7" t="e">
        <f>IF(Sheet1!D$1:D$112,"PKMzdW5xUeY=",0)</f>
        <v>#VALUE!</v>
      </c>
      <c r="HX4" s="7" t="s">
        <v>304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fischerj</dc:creator>
  <cp:keywords/>
  <dc:description/>
  <cp:lastModifiedBy>fischerj</cp:lastModifiedBy>
  <dcterms:created xsi:type="dcterms:W3CDTF">2014-02-27T19:41:08Z</dcterms:created>
  <dcterms:modified xsi:type="dcterms:W3CDTF">2014-02-27T19:41:08Z</dcterms:modified>
  <cp:category/>
  <cp:version/>
  <cp:contentType/>
  <cp:contentStatus/>
</cp:coreProperties>
</file>